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c1hps/Downloads/"/>
    </mc:Choice>
  </mc:AlternateContent>
  <xr:revisionPtr revIDLastSave="0" documentId="13_ncr:1_{3BB2CBFB-098D-1F44-83C3-F99F74F6B715}" xr6:coauthVersionLast="45" xr6:coauthVersionMax="45" xr10:uidLastSave="{00000000-0000-0000-0000-000000000000}"/>
  <bookViews>
    <workbookView xWindow="0" yWindow="460" windowWidth="28800" windowHeight="16660" xr2:uid="{F2069FD1-A595-3843-A765-EA561B3B1926}"/>
  </bookViews>
  <sheets>
    <sheet name="Supp Table 1" sheetId="9" r:id="rId1"/>
    <sheet name="Supp Table 2" sheetId="2" r:id="rId2"/>
    <sheet name="Supp Table 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B5" i="9" s="1"/>
  <c r="G5" i="9" s="1"/>
  <c r="D4" i="9"/>
  <c r="B4" i="9" s="1"/>
  <c r="G4" i="9" s="1"/>
  <c r="D3" i="9"/>
  <c r="B3" i="9" s="1"/>
  <c r="G3" i="9" s="1"/>
  <c r="J4" i="9" l="1"/>
  <c r="J5" i="9"/>
  <c r="J3" i="9"/>
  <c r="G6" i="9"/>
  <c r="K6" i="9" s="1"/>
  <c r="K4" i="9" l="1"/>
  <c r="J6" i="9"/>
  <c r="K5" i="9"/>
  <c r="K3" i="9"/>
  <c r="K38" i="2" l="1"/>
  <c r="I33" i="2"/>
  <c r="B33" i="2"/>
  <c r="W32" i="2"/>
  <c r="X32" i="2" s="1"/>
  <c r="U32" i="2"/>
  <c r="V32" i="2" s="1"/>
  <c r="O32" i="2"/>
  <c r="Q32" i="2" s="1"/>
  <c r="K32" i="2"/>
  <c r="W31" i="2"/>
  <c r="X31" i="2" s="1"/>
  <c r="U31" i="2"/>
  <c r="V31" i="2" s="1"/>
  <c r="O31" i="2"/>
  <c r="Q31" i="2" s="1"/>
  <c r="K31" i="2"/>
  <c r="W30" i="2"/>
  <c r="X30" i="2" s="1"/>
  <c r="U30" i="2"/>
  <c r="V30" i="2" s="1"/>
  <c r="O30" i="2"/>
  <c r="Q30" i="2" s="1"/>
  <c r="K30" i="2"/>
  <c r="K29" i="2"/>
  <c r="G29" i="2"/>
  <c r="U29" i="2" s="1"/>
  <c r="K28" i="2"/>
  <c r="G28" i="2"/>
  <c r="W28" i="2" s="1"/>
  <c r="K27" i="2"/>
  <c r="G27" i="2"/>
  <c r="W27" i="2" s="1"/>
  <c r="K26" i="2"/>
  <c r="G26" i="2"/>
  <c r="U26" i="2" s="1"/>
  <c r="K25" i="2"/>
  <c r="G25" i="2"/>
  <c r="U25" i="2" s="1"/>
  <c r="K24" i="2"/>
  <c r="G24" i="2"/>
  <c r="W24" i="2" s="1"/>
  <c r="X24" i="2" s="1"/>
  <c r="K23" i="2"/>
  <c r="G23" i="2"/>
  <c r="U23" i="2" s="1"/>
  <c r="V23" i="2" s="1"/>
  <c r="K22" i="2"/>
  <c r="G22" i="2"/>
  <c r="O22" i="2" s="1"/>
  <c r="Q22" i="2" s="1"/>
  <c r="K21" i="2"/>
  <c r="G21" i="2"/>
  <c r="W21" i="2" s="1"/>
  <c r="X21" i="2" s="1"/>
  <c r="K20" i="2"/>
  <c r="G20" i="2"/>
  <c r="W20" i="2" s="1"/>
  <c r="X20" i="2" s="1"/>
  <c r="K19" i="2"/>
  <c r="G19" i="2"/>
  <c r="U19" i="2" s="1"/>
  <c r="V19" i="2" s="1"/>
  <c r="K18" i="2"/>
  <c r="G18" i="2"/>
  <c r="O18" i="2" s="1"/>
  <c r="Q18" i="2" s="1"/>
  <c r="K17" i="2"/>
  <c r="G17" i="2"/>
  <c r="W17" i="2" s="1"/>
  <c r="X17" i="2" s="1"/>
  <c r="K16" i="2"/>
  <c r="G16" i="2"/>
  <c r="W16" i="2" s="1"/>
  <c r="X16" i="2" s="1"/>
  <c r="K15" i="2"/>
  <c r="G15" i="2"/>
  <c r="U15" i="2" s="1"/>
  <c r="V15" i="2" s="1"/>
  <c r="K14" i="2"/>
  <c r="G14" i="2"/>
  <c r="O14" i="2" s="1"/>
  <c r="Q14" i="2" s="1"/>
  <c r="K13" i="2"/>
  <c r="G13" i="2"/>
  <c r="W13" i="2" s="1"/>
  <c r="X13" i="2" s="1"/>
  <c r="K12" i="2"/>
  <c r="G12" i="2"/>
  <c r="W12" i="2" s="1"/>
  <c r="X12" i="2" s="1"/>
  <c r="K11" i="2"/>
  <c r="G11" i="2"/>
  <c r="U11" i="2" s="1"/>
  <c r="V11" i="2" s="1"/>
  <c r="P10" i="2"/>
  <c r="V10" i="2" s="1"/>
  <c r="K10" i="2"/>
  <c r="G10" i="2"/>
  <c r="O10" i="2" s="1"/>
  <c r="P9" i="2"/>
  <c r="K9" i="2"/>
  <c r="G9" i="2"/>
  <c r="W9" i="2" s="1"/>
  <c r="P8" i="2"/>
  <c r="K8" i="2"/>
  <c r="G8" i="2"/>
  <c r="U8" i="2" s="1"/>
  <c r="K7" i="2"/>
  <c r="G7" i="2"/>
  <c r="W7" i="2" s="1"/>
  <c r="X7" i="2" s="1"/>
  <c r="K6" i="2"/>
  <c r="G6" i="2"/>
  <c r="W6" i="2" s="1"/>
  <c r="X6" i="2" s="1"/>
  <c r="K5" i="2"/>
  <c r="G5" i="2"/>
  <c r="U5" i="2" s="1"/>
  <c r="V5" i="2" s="1"/>
  <c r="K4" i="2"/>
  <c r="G4" i="2"/>
  <c r="O4" i="2" s="1"/>
  <c r="Q4" i="2" s="1"/>
  <c r="W14" i="2" l="1"/>
  <c r="X14" i="2" s="1"/>
  <c r="O27" i="2"/>
  <c r="Q27" i="2" s="1"/>
  <c r="S27" i="2" s="1"/>
  <c r="V29" i="2"/>
  <c r="S22" i="2"/>
  <c r="W26" i="2"/>
  <c r="X26" i="2" s="1"/>
  <c r="P33" i="2"/>
  <c r="Q10" i="2"/>
  <c r="S10" i="2" s="1"/>
  <c r="V25" i="2"/>
  <c r="X27" i="2"/>
  <c r="V26" i="2"/>
  <c r="S14" i="2"/>
  <c r="O26" i="2"/>
  <c r="Q26" i="2" s="1"/>
  <c r="S26" i="2" s="1"/>
  <c r="V8" i="2"/>
  <c r="U16" i="2"/>
  <c r="V16" i="2" s="1"/>
  <c r="O19" i="2"/>
  <c r="Q19" i="2" s="1"/>
  <c r="S19" i="2" s="1"/>
  <c r="O20" i="2"/>
  <c r="Q20" i="2" s="1"/>
  <c r="S20" i="2" s="1"/>
  <c r="O23" i="2"/>
  <c r="Q23" i="2" s="1"/>
  <c r="S23" i="2" s="1"/>
  <c r="O24" i="2"/>
  <c r="Q24" i="2" s="1"/>
  <c r="S24" i="2" s="1"/>
  <c r="K41" i="2"/>
  <c r="X28" i="2"/>
  <c r="O5" i="2"/>
  <c r="Q5" i="2" s="1"/>
  <c r="S5" i="2" s="1"/>
  <c r="O6" i="2"/>
  <c r="Q6" i="2" s="1"/>
  <c r="S6" i="2" s="1"/>
  <c r="W4" i="2"/>
  <c r="W5" i="2"/>
  <c r="X5" i="2" s="1"/>
  <c r="U6" i="2"/>
  <c r="V6" i="2" s="1"/>
  <c r="O9" i="2"/>
  <c r="Q9" i="2" s="1"/>
  <c r="S9" i="2" s="1"/>
  <c r="W15" i="2"/>
  <c r="X15" i="2" s="1"/>
  <c r="W18" i="2"/>
  <c r="X18" i="2" s="1"/>
  <c r="W19" i="2"/>
  <c r="X19" i="2" s="1"/>
  <c r="U20" i="2"/>
  <c r="V20" i="2" s="1"/>
  <c r="W23" i="2"/>
  <c r="X23" i="2" s="1"/>
  <c r="U24" i="2"/>
  <c r="V24" i="2" s="1"/>
  <c r="U28" i="2"/>
  <c r="V28" i="2" s="1"/>
  <c r="W22" i="2"/>
  <c r="X22" i="2" s="1"/>
  <c r="O28" i="2"/>
  <c r="Q28" i="2" s="1"/>
  <c r="O11" i="2"/>
  <c r="Q11" i="2" s="1"/>
  <c r="S11" i="2" s="1"/>
  <c r="O12" i="2"/>
  <c r="Q12" i="2" s="1"/>
  <c r="X9" i="2"/>
  <c r="U9" i="2"/>
  <c r="V9" i="2" s="1"/>
  <c r="W10" i="2"/>
  <c r="X10" i="2" s="1"/>
  <c r="W11" i="2"/>
  <c r="X11" i="2" s="1"/>
  <c r="U12" i="2"/>
  <c r="V12" i="2" s="1"/>
  <c r="O15" i="2"/>
  <c r="Q15" i="2" s="1"/>
  <c r="S15" i="2" s="1"/>
  <c r="O16" i="2"/>
  <c r="Q16" i="2" s="1"/>
  <c r="S16" i="2" s="1"/>
  <c r="S18" i="2"/>
  <c r="U27" i="2"/>
  <c r="V27" i="2" s="1"/>
  <c r="S4" i="2"/>
  <c r="W8" i="2"/>
  <c r="X8" i="2" s="1"/>
  <c r="U13" i="2"/>
  <c r="V13" i="2" s="1"/>
  <c r="U17" i="2"/>
  <c r="V17" i="2" s="1"/>
  <c r="U21" i="2"/>
  <c r="V21" i="2" s="1"/>
  <c r="W25" i="2"/>
  <c r="X25" i="2" s="1"/>
  <c r="W29" i="2"/>
  <c r="X29" i="2" s="1"/>
  <c r="G33" i="2"/>
  <c r="X4" i="2"/>
  <c r="U4" i="2"/>
  <c r="O7" i="2"/>
  <c r="Q7" i="2" s="1"/>
  <c r="S7" i="2" s="1"/>
  <c r="O13" i="2"/>
  <c r="Q13" i="2" s="1"/>
  <c r="S13" i="2" s="1"/>
  <c r="U14" i="2"/>
  <c r="V14" i="2" s="1"/>
  <c r="O17" i="2"/>
  <c r="Q17" i="2" s="1"/>
  <c r="S17" i="2" s="1"/>
  <c r="U18" i="2"/>
  <c r="V18" i="2" s="1"/>
  <c r="O21" i="2"/>
  <c r="Q21" i="2" s="1"/>
  <c r="S21" i="2" s="1"/>
  <c r="U22" i="2"/>
  <c r="V22" i="2" s="1"/>
  <c r="U7" i="2"/>
  <c r="V7" i="2" s="1"/>
  <c r="O8" i="2"/>
  <c r="Q8" i="2" s="1"/>
  <c r="S8" i="2" s="1"/>
  <c r="O25" i="2"/>
  <c r="Q25" i="2" s="1"/>
  <c r="S25" i="2" s="1"/>
  <c r="O29" i="2"/>
  <c r="Q29" i="2" s="1"/>
  <c r="S29" i="2" s="1"/>
  <c r="M37" i="2" l="1"/>
  <c r="Q37" i="2" s="1"/>
  <c r="M40" i="2"/>
  <c r="O39" i="2"/>
  <c r="O40" i="2"/>
  <c r="N38" i="2"/>
  <c r="M39" i="2"/>
  <c r="S12" i="2"/>
  <c r="P41" i="2"/>
  <c r="S28" i="2"/>
  <c r="O41" i="2"/>
  <c r="V4" i="2"/>
  <c r="V33" i="2" s="1"/>
  <c r="X45" i="2" s="1"/>
  <c r="U33" i="2"/>
  <c r="N40" i="2"/>
  <c r="W33" i="2"/>
  <c r="Q33" i="2"/>
  <c r="X43" i="2" s="1"/>
  <c r="S37" i="2"/>
  <c r="N39" i="2"/>
  <c r="X33" i="2"/>
  <c r="X44" i="2" s="1"/>
  <c r="M38" i="2"/>
  <c r="Q40" i="2" l="1"/>
  <c r="S40" i="2" s="1"/>
  <c r="Q39" i="2"/>
  <c r="S39" i="2" s="1"/>
  <c r="Q38" i="2"/>
  <c r="S38" i="2" s="1"/>
  <c r="Q41" i="2"/>
  <c r="S41" i="2" s="1"/>
</calcChain>
</file>

<file path=xl/sharedStrings.xml><?xml version="1.0" encoding="utf-8"?>
<sst xmlns="http://schemas.openxmlformats.org/spreadsheetml/2006/main" count="147" uniqueCount="127">
  <si>
    <t>Density</t>
  </si>
  <si>
    <t>u./cm2</t>
  </si>
  <si>
    <t>cm2</t>
  </si>
  <si>
    <t>%</t>
  </si>
  <si>
    <t>Face</t>
  </si>
  <si>
    <t>Dermatome</t>
  </si>
  <si>
    <t>N° fiber in Dorsal root</t>
  </si>
  <si>
    <t>%%%</t>
  </si>
  <si>
    <t>skin area</t>
  </si>
  <si>
    <t>#fiber innervating skin</t>
  </si>
  <si>
    <t>density</t>
  </si>
  <si>
    <t># of fiber ranges</t>
  </si>
  <si>
    <t>% myellinated</t>
  </si>
  <si>
    <t>A beta / A delta</t>
  </si>
  <si>
    <t>deep structure/proprio</t>
  </si>
  <si>
    <t>estimated%</t>
  </si>
  <si>
    <t>total</t>
  </si>
  <si>
    <t xml:space="preserve">glabrous skin </t>
  </si>
  <si>
    <t>hairy skin</t>
  </si>
  <si>
    <t>glabrous</t>
  </si>
  <si>
    <t>units estimated</t>
  </si>
  <si>
    <t>estimated</t>
  </si>
  <si>
    <t>% min</t>
  </si>
  <si>
    <t># min</t>
  </si>
  <si>
    <t>% max</t>
  </si>
  <si>
    <t># max</t>
  </si>
  <si>
    <r>
      <t>cm</t>
    </r>
    <r>
      <rPr>
        <i/>
        <vertAlign val="superscript"/>
        <sz val="11"/>
        <color rgb="FF7F7F7F"/>
        <rFont val="Calibri"/>
        <family val="2"/>
        <scheme val="minor"/>
      </rPr>
      <t>2</t>
    </r>
  </si>
  <si>
    <r>
      <t>u./cm</t>
    </r>
    <r>
      <rPr>
        <i/>
        <vertAlign val="superscript"/>
        <sz val="11"/>
        <color rgb="FF7F7F7F"/>
        <rFont val="Calibri"/>
        <family val="2"/>
        <scheme val="minor"/>
      </rPr>
      <t>2</t>
    </r>
  </si>
  <si>
    <t>C2</t>
  </si>
  <si>
    <t>C3</t>
  </si>
  <si>
    <t>C4</t>
  </si>
  <si>
    <t>C5</t>
  </si>
  <si>
    <t>C6</t>
  </si>
  <si>
    <t>C7</t>
  </si>
  <si>
    <t>C8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</si>
  <si>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</si>
  <si>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</si>
  <si>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</si>
  <si>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</si>
  <si>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</si>
  <si>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</si>
  <si>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</si>
  <si>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</si>
  <si>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</si>
  <si>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</si>
  <si>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</si>
  <si>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</si>
  <si>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L1</t>
  </si>
  <si>
    <t>L2</t>
  </si>
  <si>
    <t>L3</t>
  </si>
  <si>
    <t>L4</t>
  </si>
  <si>
    <t>L5</t>
  </si>
  <si>
    <t>S1</t>
  </si>
  <si>
    <t>S2</t>
  </si>
  <si>
    <t>S3</t>
  </si>
  <si>
    <t>S4</t>
  </si>
  <si>
    <t>S5</t>
  </si>
  <si>
    <t>overall total number of fibers</t>
  </si>
  <si>
    <t>division</t>
  </si>
  <si>
    <t>afferents</t>
  </si>
  <si>
    <t>max</t>
  </si>
  <si>
    <t>Cervical</t>
  </si>
  <si>
    <t>Thoracic</t>
  </si>
  <si>
    <t>Lumbar</t>
  </si>
  <si>
    <t>Sacral</t>
  </si>
  <si>
    <t>total area</t>
  </si>
  <si>
    <t>min</t>
  </si>
  <si>
    <t>neck+scalp</t>
  </si>
  <si>
    <t>C2+0.7 C3+0.14 C4</t>
  </si>
  <si>
    <t>arms + hand dorsum</t>
  </si>
  <si>
    <t>0.3 C4 +  C5 + C6,C7 +  C8</t>
  </si>
  <si>
    <t xml:space="preserve"> T1 +0.5 T2</t>
  </si>
  <si>
    <t>chest/abdomen</t>
  </si>
  <si>
    <t xml:space="preserve">0.5 C3+ 0.4 C4 </t>
  </si>
  <si>
    <t>0.18 T2+ 0.4 T3 + 0.5 T4 + 0.6 T5 + 0.65 T6 + 0.54 T7 + 0.52 T8 + 0.6 T9 + 0.46 T10 + 0.52 T11 + 0.36 T12</t>
  </si>
  <si>
    <t>0.1 L1</t>
  </si>
  <si>
    <t xml:space="preserve">back </t>
  </si>
  <si>
    <t>0.16 C4</t>
  </si>
  <si>
    <t>0.32 T2 + 0.5 T2:12</t>
  </si>
  <si>
    <t>0.4 L1 + 0.2 L2</t>
  </si>
  <si>
    <t>legs</t>
  </si>
  <si>
    <t>0.5L1+ 0.8L2 + L3, L4, L5</t>
  </si>
  <si>
    <t>S1+ S2</t>
  </si>
  <si>
    <t>REF</t>
  </si>
  <si>
    <t xml:space="preserve">body area </t>
  </si>
  <si>
    <t>SA%</t>
  </si>
  <si>
    <t>SAI</t>
  </si>
  <si>
    <t>SAII</t>
  </si>
  <si>
    <t>FAI</t>
  </si>
  <si>
    <t>FAII</t>
  </si>
  <si>
    <t>Hair Units</t>
  </si>
  <si>
    <t>Field Units</t>
  </si>
  <si>
    <t>tot. units considered</t>
  </si>
  <si>
    <t>forearm</t>
  </si>
  <si>
    <t>hand dorsum</t>
  </si>
  <si>
    <t xml:space="preserve"> leg</t>
  </si>
  <si>
    <t>foot dorsum</t>
  </si>
  <si>
    <t>frontal leg/foot dorsum</t>
  </si>
  <si>
    <t>thigh</t>
  </si>
  <si>
    <t>arm</t>
  </si>
  <si>
    <t>arm/hand dorsum</t>
  </si>
  <si>
    <t>leg/foot dorsum</t>
  </si>
  <si>
    <t>Edin, B. B., and J. H. Abbs. 1991. “Finger Movement Responses of Cutaneous Mechanoreceptors in the Dorsal Skin of the Human Hand.” Journal of Neurophysiology 65 (3): 657–70.</t>
  </si>
  <si>
    <t>Vallbo, A. B., H. Olausson, J. Wessberg, and N. Kakuda. 1995. “Receptive Field Characteristics of Tactile Units with Myelinated Afferents in Hairy Skin of Human Subjects.” The Journal of Physiology 483 ( Pt 3) (March): 783–95.</t>
  </si>
  <si>
    <t>Edin, B. B., G. K. Essick, M. Trulsson, and K. A. Olsson. 1995. “Receptor Encoding of Moving Tactile Stimuli in Humans. I. Temporal Pattern of Discharge of Individual Low-Threshold Mechanoreceptors.” The Journal of Neuroscience: The Official Journal of the Society for Neuroscience 15 (1 Pt 2): 830–47.</t>
  </si>
  <si>
    <t>Aimonetti, Jean-Marc, Valérie Hospod, Jean-Pierre Roll, and Edith Ribot-Ciscar. 2007. “Cutaneous Afferents Provide a Neuronal Population Vector That Encodes the Orientation of Human Ankle Movements.” The Journal of Physiology 580 (Pt. 2): 649–58.</t>
  </si>
  <si>
    <t>Trulsson, M. 2001. “Mechanoreceptive Afferents in the Human Sural Nerve.” Experimental Brain Research. Experimentelle Hirnforschung. Experimentation Cerebrale 137 (1): 111–16.</t>
  </si>
  <si>
    <t>Kakuda, N. 1992. “Conduction Velocity of Low-Threshold Mechanoreceptive Afferent Fibers in the Glabrous and Hairy Skin of Human Hands Measured with Microneurography and Spike-Triggered Averaging.” Neuroscience Research 15 (3): 179–88.</t>
  </si>
  <si>
    <t>Nagi, Saad S., Andrew G. Marshall, Adarsh Makdani, Ewa Jarocka, Jaquette Liljencrantz, Mikael Ridderström, Sumaiya Shaikh, et al. 2019. “An Ultrafast System for Signaling Mechanical Pain in Human Skin.” Science Advances 5 (7): eaaw1297.</t>
  </si>
  <si>
    <t>Ribot-Ciscar, E., J. P. Vedel, and J. P. Roll. 1989. “Vibration Sensitivity of Slowly and Rapidly Adapting Cutaneous Mechanoreceptors in the Human Foot and Leg.” Neuroscience Letters 104 (1-2): 130–35.</t>
  </si>
  <si>
    <t>Ribot-Ciscar, E., J. P. Roll, M. F. Tardy-Gervet, and F. Harlay. 1996. “Alteration of Human Cutaneous Afferent Discharges as the Result of Long-Lasting Vibration.” Journal of Applied Physiology 80 (5): 1708–15.</t>
  </si>
  <si>
    <t>Edin, B. 2001. “Cutaneous Afferents Provide Information about Knee Joint Movements in Humans.” The Journal of Physiology 531 (Pt 1): 289–97.</t>
  </si>
  <si>
    <t>Löken, Line S., Johan Wessberg, India Morrison, Francis McGlone, and Håkan Olausson. 2009. “Coding of Pleasant Touch by Unmyelinated Afferents in Humans.” Nature Neuroscience 12 (5): 547–48.</t>
  </si>
  <si>
    <t>Ackerley, Rochelle, Helena Backlund Wasling, Jaquette Liljencrantz, Håkan Olausson, Richard D. Johnson, and Johan Wessberg. 2014. “Human C-Tactile Afferents Are Tuned to the Temperature of a Skin-Stroking Caress.” The Journal of Neuroscience: The Official Journal of the Society for Neuroscience 34 (8): 2879–83.</t>
  </si>
  <si>
    <t>fibers total</t>
  </si>
  <si>
    <t>density in Nolano (2013)</t>
  </si>
  <si>
    <t>innervation pattern</t>
  </si>
  <si>
    <t>branches innervating inner mouth/mucosa</t>
  </si>
  <si>
    <t>sensory branches</t>
  </si>
  <si>
    <t>fiber innervating skin</t>
  </si>
  <si>
    <t>% area</t>
  </si>
  <si>
    <t>Innervation density</t>
  </si>
  <si>
    <t>u./mm2</t>
  </si>
  <si>
    <t>V1</t>
  </si>
  <si>
    <t>V2</t>
  </si>
  <si>
    <t>V3</t>
  </si>
  <si>
    <t>anterior leg/foot dorsum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</si>
</sst>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i/>
      <vertAlign val="superscript"/>
      <sz val="11"/>
      <color rgb="FF7F7F7F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2"/>
      <color theme="1"/>
      <name val="Calibri"/>
      <family val="2"/>
    </font>
    <font>
      <sz val="6"/>
      <color theme="2" tint="-0.749992370372631"/>
      <name val="Calibri"/>
      <family val="2"/>
      <scheme val="minor"/>
    </font>
    <font>
      <sz val="6"/>
      <color theme="1"/>
      <name val="Calibri"/>
      <family val="2"/>
      <scheme val="minor"/>
    </font>
    <font>
      <sz val="12"/>
      <color theme="2" tint="-0.74999237037263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0B4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rgb="FF7F7F7F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/>
      <diagonal/>
    </border>
    <border>
      <left style="medium">
        <color indexed="64"/>
      </left>
      <right style="slantDashDot">
        <color indexed="64"/>
      </right>
      <top/>
      <bottom/>
      <diagonal/>
    </border>
    <border>
      <left style="medium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1" fillId="6" borderId="2" applyNumberFormat="0" applyFont="0" applyAlignment="0" applyProtection="0"/>
    <xf numFmtId="0" fontId="6" fillId="0" borderId="0" applyNumberFormat="0" applyFill="0" applyBorder="0" applyAlignment="0" applyProtection="0"/>
    <xf numFmtId="0" fontId="1" fillId="7" borderId="0" applyNumberFormat="0" applyBorder="0" applyAlignment="0" applyProtection="0"/>
  </cellStyleXfs>
  <cellXfs count="156">
    <xf numFmtId="0" fontId="0" fillId="0" borderId="0" xfId="0"/>
    <xf numFmtId="0" fontId="6" fillId="0" borderId="7" xfId="6" applyBorder="1"/>
    <xf numFmtId="0" fontId="6" fillId="0" borderId="0" xfId="6" applyBorder="1"/>
    <xf numFmtId="0" fontId="6" fillId="0" borderId="9" xfId="6" applyBorder="1"/>
    <xf numFmtId="0" fontId="0" fillId="0" borderId="7" xfId="0" applyBorder="1"/>
    <xf numFmtId="0" fontId="0" fillId="0" borderId="10" xfId="0" applyBorder="1"/>
    <xf numFmtId="0" fontId="0" fillId="0" borderId="9" xfId="0" applyBorder="1"/>
    <xf numFmtId="0" fontId="0" fillId="8" borderId="6" xfId="0" applyFill="1" applyBorder="1"/>
    <xf numFmtId="0" fontId="7" fillId="0" borderId="10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6" fillId="0" borderId="20" xfId="6" applyBorder="1"/>
    <xf numFmtId="0" fontId="0" fillId="8" borderId="11" xfId="0" applyFill="1" applyBorder="1"/>
    <xf numFmtId="2" fontId="0" fillId="0" borderId="0" xfId="0" applyNumberFormat="1" applyBorder="1"/>
    <xf numFmtId="0" fontId="4" fillId="4" borderId="3" xfId="3" applyBorder="1"/>
    <xf numFmtId="0" fontId="4" fillId="4" borderId="15" xfId="3" applyBorder="1"/>
    <xf numFmtId="0" fontId="4" fillId="4" borderId="22" xfId="3" applyBorder="1"/>
    <xf numFmtId="0" fontId="4" fillId="4" borderId="25" xfId="3" applyBorder="1"/>
    <xf numFmtId="0" fontId="4" fillId="4" borderId="26" xfId="3" applyBorder="1"/>
    <xf numFmtId="2" fontId="4" fillId="4" borderId="22" xfId="3" applyNumberFormat="1" applyBorder="1" applyAlignment="1">
      <alignment horizontal="center"/>
    </xf>
    <xf numFmtId="2" fontId="4" fillId="4" borderId="23" xfId="3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6" xfId="6" applyBorder="1"/>
    <xf numFmtId="0" fontId="6" fillId="0" borderId="10" xfId="6" applyBorder="1"/>
    <xf numFmtId="0" fontId="6" fillId="0" borderId="27" xfId="6" applyBorder="1"/>
    <xf numFmtId="2" fontId="6" fillId="0" borderId="7" xfId="6" applyNumberFormat="1" applyBorder="1" applyAlignment="1">
      <alignment horizontal="center"/>
    </xf>
    <xf numFmtId="2" fontId="6" fillId="0" borderId="0" xfId="6" applyNumberFormat="1" applyBorder="1" applyAlignment="1">
      <alignment horizontal="center"/>
    </xf>
    <xf numFmtId="2" fontId="6" fillId="0" borderId="6" xfId="6" applyNumberFormat="1" applyBorder="1" applyAlignment="1">
      <alignment horizontal="center"/>
    </xf>
    <xf numFmtId="2" fontId="6" fillId="0" borderId="19" xfId="6" applyNumberFormat="1" applyBorder="1" applyAlignment="1">
      <alignment horizontal="center"/>
    </xf>
    <xf numFmtId="2" fontId="6" fillId="0" borderId="21" xfId="6" applyNumberFormat="1" applyBorder="1" applyAlignment="1">
      <alignment horizontal="center"/>
    </xf>
    <xf numFmtId="2" fontId="6" fillId="0" borderId="20" xfId="6" applyNumberFormat="1" applyBorder="1" applyAlignment="1">
      <alignment horizontal="center"/>
    </xf>
    <xf numFmtId="2" fontId="6" fillId="0" borderId="10" xfId="6" applyNumberFormat="1" applyBorder="1" applyAlignment="1">
      <alignment horizontal="center"/>
    </xf>
    <xf numFmtId="2" fontId="6" fillId="0" borderId="28" xfId="6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2" fillId="2" borderId="6" xfId="1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3" fillId="3" borderId="8" xfId="2" applyNumberFormat="1" applyBorder="1" applyAlignment="1">
      <alignment horizontal="center"/>
    </xf>
    <xf numFmtId="0" fontId="9" fillId="0" borderId="17" xfId="0" applyFont="1" applyBorder="1"/>
    <xf numFmtId="2" fontId="10" fillId="0" borderId="0" xfId="1" applyNumberFormat="1" applyFont="1" applyFill="1" applyBorder="1" applyAlignment="1">
      <alignment horizontal="center"/>
    </xf>
    <xf numFmtId="2" fontId="3" fillId="3" borderId="29" xfId="2" applyNumberFormat="1" applyBorder="1" applyAlignment="1">
      <alignment horizontal="center"/>
    </xf>
    <xf numFmtId="0" fontId="6" fillId="0" borderId="17" xfId="6" applyBorder="1"/>
    <xf numFmtId="0" fontId="6" fillId="0" borderId="18" xfId="6" applyBorder="1"/>
    <xf numFmtId="2" fontId="1" fillId="0" borderId="30" xfId="0" applyNumberFormat="1" applyFont="1" applyBorder="1" applyAlignment="1">
      <alignment horizontal="center"/>
    </xf>
    <xf numFmtId="2" fontId="3" fillId="3" borderId="10" xfId="2" applyNumberFormat="1" applyBorder="1" applyAlignment="1">
      <alignment horizontal="center"/>
    </xf>
    <xf numFmtId="0" fontId="9" fillId="0" borderId="7" xfId="0" applyFont="1" applyBorder="1"/>
    <xf numFmtId="2" fontId="3" fillId="3" borderId="27" xfId="2" applyNumberFormat="1" applyBorder="1" applyAlignment="1">
      <alignment horizontal="center"/>
    </xf>
    <xf numFmtId="2" fontId="11" fillId="0" borderId="0" xfId="2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6" fillId="0" borderId="0" xfId="6" applyNumberFormat="1" applyAlignment="1">
      <alignment horizontal="center"/>
    </xf>
    <xf numFmtId="2" fontId="6" fillId="0" borderId="0" xfId="6" applyNumberFormat="1" applyFill="1" applyBorder="1" applyAlignment="1">
      <alignment horizontal="center"/>
    </xf>
    <xf numFmtId="2" fontId="5" fillId="5" borderId="0" xfId="4" applyNumberFormat="1" applyBorder="1" applyAlignment="1">
      <alignment horizontal="center"/>
    </xf>
    <xf numFmtId="2" fontId="5" fillId="5" borderId="17" xfId="4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2" fillId="6" borderId="31" xfId="5" applyFont="1" applyBorder="1" applyAlignment="1">
      <alignment horizontal="center"/>
    </xf>
    <xf numFmtId="0" fontId="12" fillId="6" borderId="32" xfId="5" applyFont="1" applyBorder="1" applyAlignment="1">
      <alignment horizontal="center"/>
    </xf>
    <xf numFmtId="0" fontId="12" fillId="6" borderId="33" xfId="5" applyFont="1" applyBorder="1" applyAlignment="1">
      <alignment horizontal="center"/>
    </xf>
    <xf numFmtId="0" fontId="12" fillId="0" borderId="0" xfId="5" applyFont="1" applyFill="1" applyBorder="1" applyAlignment="1">
      <alignment horizontal="center"/>
    </xf>
    <xf numFmtId="0" fontId="5" fillId="5" borderId="34" xfId="4" applyBorder="1" applyAlignment="1">
      <alignment horizontal="center"/>
    </xf>
    <xf numFmtId="0" fontId="5" fillId="5" borderId="35" xfId="4" applyBorder="1" applyAlignment="1">
      <alignment horizontal="center"/>
    </xf>
    <xf numFmtId="0" fontId="5" fillId="5" borderId="36" xfId="4" applyBorder="1" applyAlignment="1">
      <alignment horizontal="center"/>
    </xf>
    <xf numFmtId="0" fontId="2" fillId="2" borderId="29" xfId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2" fillId="2" borderId="27" xfId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2" fillId="2" borderId="28" xfId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0" xfId="6" applyFill="1" applyBorder="1"/>
    <xf numFmtId="2" fontId="3" fillId="0" borderId="0" xfId="2" applyNumberFormat="1" applyFill="1" applyBorder="1" applyAlignment="1">
      <alignment horizontal="center"/>
    </xf>
    <xf numFmtId="0" fontId="1" fillId="0" borderId="0" xfId="7" applyFill="1" applyBorder="1" applyAlignment="1">
      <alignment horizontal="center"/>
    </xf>
    <xf numFmtId="0" fontId="0" fillId="0" borderId="20" xfId="0" applyBorder="1"/>
    <xf numFmtId="0" fontId="1" fillId="7" borderId="29" xfId="7" applyBorder="1" applyAlignment="1">
      <alignment horizontal="center"/>
    </xf>
    <xf numFmtId="2" fontId="2" fillId="2" borderId="37" xfId="1" applyNumberForma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3" fillId="3" borderId="40" xfId="2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3" fillId="0" borderId="39" xfId="2" applyNumberFormat="1" applyFill="1" applyBorder="1" applyAlignment="1">
      <alignment horizontal="center"/>
    </xf>
    <xf numFmtId="2" fontId="3" fillId="0" borderId="38" xfId="2" applyNumberFormat="1" applyFill="1" applyBorder="1" applyAlignment="1">
      <alignment horizontal="center"/>
    </xf>
    <xf numFmtId="2" fontId="10" fillId="0" borderId="40" xfId="1" applyNumberFormat="1" applyFont="1" applyFill="1" applyBorder="1" applyAlignment="1">
      <alignment horizontal="center"/>
    </xf>
    <xf numFmtId="2" fontId="3" fillId="3" borderId="41" xfId="2" applyNumberFormat="1" applyBorder="1" applyAlignment="1">
      <alignment horizontal="center"/>
    </xf>
    <xf numFmtId="0" fontId="6" fillId="0" borderId="39" xfId="6" applyBorder="1"/>
    <xf numFmtId="0" fontId="6" fillId="0" borderId="38" xfId="6" applyBorder="1"/>
    <xf numFmtId="2" fontId="1" fillId="0" borderId="42" xfId="0" applyNumberFormat="1" applyFont="1" applyBorder="1" applyAlignment="1">
      <alignment horizontal="center"/>
    </xf>
    <xf numFmtId="0" fontId="5" fillId="5" borderId="43" xfId="4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5" fillId="5" borderId="44" xfId="4" applyNumberFormat="1" applyBorder="1" applyAlignment="1">
      <alignment horizontal="center"/>
    </xf>
    <xf numFmtId="2" fontId="5" fillId="5" borderId="45" xfId="4" applyNumberFormat="1" applyBorder="1" applyAlignment="1">
      <alignment horizontal="center"/>
    </xf>
    <xf numFmtId="2" fontId="5" fillId="5" borderId="47" xfId="4" applyNumberFormat="1" applyBorder="1" applyAlignment="1">
      <alignment horizontal="center"/>
    </xf>
    <xf numFmtId="2" fontId="5" fillId="5" borderId="49" xfId="4" applyNumberFormat="1" applyBorder="1" applyAlignment="1">
      <alignment horizontal="center"/>
    </xf>
    <xf numFmtId="2" fontId="5" fillId="5" borderId="38" xfId="4" applyNumberFormat="1" applyBorder="1" applyAlignment="1">
      <alignment horizontal="center"/>
    </xf>
    <xf numFmtId="2" fontId="5" fillId="5" borderId="39" xfId="4" applyNumberFormat="1" applyBorder="1" applyAlignment="1">
      <alignment horizontal="center"/>
    </xf>
    <xf numFmtId="0" fontId="13" fillId="0" borderId="9" xfId="0" applyFont="1" applyBorder="1"/>
    <xf numFmtId="0" fontId="13" fillId="0" borderId="13" xfId="0" applyFont="1" applyBorder="1"/>
    <xf numFmtId="0" fontId="13" fillId="0" borderId="14" xfId="0" applyFont="1" applyBorder="1"/>
    <xf numFmtId="0" fontId="0" fillId="0" borderId="38" xfId="0" applyBorder="1"/>
    <xf numFmtId="0" fontId="0" fillId="0" borderId="42" xfId="0" applyBorder="1"/>
    <xf numFmtId="0" fontId="6" fillId="0" borderId="24" xfId="6" applyBorder="1"/>
    <xf numFmtId="1" fontId="5" fillId="5" borderId="46" xfId="4" applyNumberFormat="1" applyBorder="1" applyAlignment="1">
      <alignment horizontal="center"/>
    </xf>
    <xf numFmtId="1" fontId="5" fillId="5" borderId="48" xfId="4" applyNumberFormat="1" applyBorder="1" applyAlignment="1">
      <alignment horizontal="center"/>
    </xf>
    <xf numFmtId="1" fontId="5" fillId="5" borderId="50" xfId="4" applyNumberForma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0" fontId="13" fillId="9" borderId="4" xfId="0" applyFont="1" applyFill="1" applyBorder="1"/>
    <xf numFmtId="2" fontId="13" fillId="0" borderId="13" xfId="0" applyNumberFormat="1" applyFont="1" applyBorder="1"/>
    <xf numFmtId="0" fontId="13" fillId="0" borderId="0" xfId="0" applyFont="1" applyBorder="1"/>
    <xf numFmtId="9" fontId="13" fillId="0" borderId="0" xfId="0" applyNumberFormat="1" applyFont="1" applyBorder="1"/>
    <xf numFmtId="2" fontId="13" fillId="0" borderId="0" xfId="0" applyNumberFormat="1" applyFont="1" applyBorder="1"/>
    <xf numFmtId="9" fontId="13" fillId="0" borderId="13" xfId="0" applyNumberFormat="1" applyFont="1" applyBorder="1"/>
    <xf numFmtId="0" fontId="13" fillId="9" borderId="54" xfId="0" applyFont="1" applyFill="1" applyBorder="1"/>
    <xf numFmtId="0" fontId="13" fillId="9" borderId="5" xfId="0" applyFont="1" applyFill="1" applyBorder="1"/>
    <xf numFmtId="0" fontId="13" fillId="12" borderId="55" xfId="0" applyFont="1" applyFill="1" applyBorder="1"/>
    <xf numFmtId="0" fontId="13" fillId="12" borderId="56" xfId="0" applyFont="1" applyFill="1" applyBorder="1"/>
    <xf numFmtId="0" fontId="13" fillId="13" borderId="56" xfId="0" applyFont="1" applyFill="1" applyBorder="1"/>
    <xf numFmtId="0" fontId="0" fillId="13" borderId="56" xfId="0" applyFill="1" applyBorder="1"/>
    <xf numFmtId="0" fontId="13" fillId="14" borderId="56" xfId="0" applyFont="1" applyFill="1" applyBorder="1"/>
    <xf numFmtId="0" fontId="0" fillId="15" borderId="56" xfId="0" applyFill="1" applyBorder="1"/>
    <xf numFmtId="0" fontId="13" fillId="15" borderId="56" xfId="0" applyFont="1" applyFill="1" applyBorder="1"/>
    <xf numFmtId="0" fontId="13" fillId="14" borderId="57" xfId="0" applyFont="1" applyFill="1" applyBorder="1"/>
    <xf numFmtId="0" fontId="13" fillId="13" borderId="44" xfId="0" applyFont="1" applyFill="1" applyBorder="1"/>
    <xf numFmtId="2" fontId="13" fillId="0" borderId="45" xfId="0" applyNumberFormat="1" applyFont="1" applyBorder="1"/>
    <xf numFmtId="0" fontId="13" fillId="0" borderId="45" xfId="0" applyFont="1" applyBorder="1"/>
    <xf numFmtId="0" fontId="13" fillId="0" borderId="46" xfId="0" applyFont="1" applyBorder="1"/>
    <xf numFmtId="0" fontId="13" fillId="15" borderId="49" xfId="0" applyFont="1" applyFill="1" applyBorder="1"/>
    <xf numFmtId="2" fontId="13" fillId="0" borderId="38" xfId="0" applyNumberFormat="1" applyFont="1" applyBorder="1"/>
    <xf numFmtId="0" fontId="13" fillId="0" borderId="38" xfId="0" applyFont="1" applyBorder="1"/>
    <xf numFmtId="0" fontId="13" fillId="0" borderId="50" xfId="0" applyFont="1" applyBorder="1"/>
    <xf numFmtId="0" fontId="0" fillId="13" borderId="16" xfId="0" applyFill="1" applyBorder="1"/>
    <xf numFmtId="0" fontId="0" fillId="8" borderId="37" xfId="0" applyFill="1" applyBorder="1"/>
    <xf numFmtId="0" fontId="0" fillId="0" borderId="39" xfId="0" applyBorder="1"/>
    <xf numFmtId="0" fontId="0" fillId="0" borderId="58" xfId="0" applyBorder="1"/>
    <xf numFmtId="0" fontId="0" fillId="0" borderId="11" xfId="0" applyBorder="1"/>
    <xf numFmtId="0" fontId="2" fillId="2" borderId="15" xfId="1" applyBorder="1" applyAlignment="1">
      <alignment vertical="center" wrapText="1"/>
    </xf>
    <xf numFmtId="0" fontId="2" fillId="2" borderId="15" xfId="1" applyBorder="1" applyAlignment="1">
      <alignment horizontal="center" vertical="center" wrapText="1"/>
    </xf>
    <xf numFmtId="0" fontId="2" fillId="2" borderId="23" xfId="1" applyBorder="1" applyAlignment="1">
      <alignment vertical="center" wrapText="1"/>
    </xf>
    <xf numFmtId="0" fontId="14" fillId="10" borderId="52" xfId="0" applyFont="1" applyFill="1" applyBorder="1" applyAlignment="1">
      <alignment wrapText="1"/>
    </xf>
    <xf numFmtId="0" fontId="14" fillId="11" borderId="52" xfId="0" applyFont="1" applyFill="1" applyBorder="1" applyAlignment="1">
      <alignment wrapText="1"/>
    </xf>
    <xf numFmtId="0" fontId="14" fillId="10" borderId="53" xfId="0" applyFont="1" applyFill="1" applyBorder="1" applyAlignment="1">
      <alignment wrapText="1"/>
    </xf>
    <xf numFmtId="0" fontId="15" fillId="0" borderId="0" xfId="0" applyFont="1" applyBorder="1"/>
    <xf numFmtId="0" fontId="16" fillId="10" borderId="51" xfId="0" applyFont="1" applyFill="1" applyBorder="1" applyAlignment="1">
      <alignment wrapText="1"/>
    </xf>
  </cellXfs>
  <cellStyles count="8">
    <cellStyle name="20% - Accent2" xfId="7" builtinId="34"/>
    <cellStyle name="Bad" xfId="2" builtinId="27"/>
    <cellStyle name="Explanatory Text" xfId="6" builtinId="53"/>
    <cellStyle name="Good" xfId="1" builtinId="26"/>
    <cellStyle name="Input" xfId="4" builtinId="20"/>
    <cellStyle name="Neutral" xfId="3" builtinId="28"/>
    <cellStyle name="Normal" xfId="0" builtinId="0"/>
    <cellStyle name="Note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A80F-0FC1-9D4E-9DF0-00EDE8A53CFD}">
  <dimension ref="A1:K6"/>
  <sheetViews>
    <sheetView tabSelected="1" workbookViewId="0"/>
  </sheetViews>
  <sheetFormatPr baseColWidth="10" defaultRowHeight="16" x14ac:dyDescent="0.2"/>
  <cols>
    <col min="2" max="2" width="12.1640625" bestFit="1" customWidth="1"/>
    <col min="3" max="3" width="21.5" bestFit="1" customWidth="1"/>
    <col min="4" max="4" width="17" bestFit="1" customWidth="1"/>
    <col min="5" max="5" width="13" customWidth="1"/>
    <col min="6" max="6" width="15.1640625" bestFit="1" customWidth="1"/>
    <col min="10" max="10" width="16.83203125" bestFit="1" customWidth="1"/>
  </cols>
  <sheetData>
    <row r="1" spans="1:11" ht="44" customHeight="1" x14ac:dyDescent="0.2">
      <c r="A1" s="146"/>
      <c r="B1" s="148" t="s">
        <v>114</v>
      </c>
      <c r="C1" s="148" t="s">
        <v>115</v>
      </c>
      <c r="D1" s="148" t="s">
        <v>116</v>
      </c>
      <c r="E1" s="149" t="s">
        <v>117</v>
      </c>
      <c r="F1" s="148" t="s">
        <v>118</v>
      </c>
      <c r="G1" s="148" t="s">
        <v>119</v>
      </c>
      <c r="H1" s="148" t="s">
        <v>120</v>
      </c>
      <c r="I1" s="148" t="s">
        <v>8</v>
      </c>
      <c r="J1" s="148" t="s">
        <v>121</v>
      </c>
      <c r="K1" s="150" t="s">
        <v>3</v>
      </c>
    </row>
    <row r="2" spans="1:11" x14ac:dyDescent="0.2">
      <c r="A2" s="147"/>
      <c r="B2" s="14"/>
      <c r="C2" s="14" t="s">
        <v>122</v>
      </c>
      <c r="D2" s="14" t="s">
        <v>3</v>
      </c>
      <c r="E2" s="14"/>
      <c r="F2" s="84"/>
      <c r="G2" s="14"/>
      <c r="H2" s="14"/>
      <c r="I2" s="14" t="s">
        <v>2</v>
      </c>
      <c r="J2" s="14" t="s">
        <v>1</v>
      </c>
      <c r="K2" s="111"/>
    </row>
    <row r="3" spans="1:11" x14ac:dyDescent="0.2">
      <c r="A3" s="15" t="s">
        <v>123</v>
      </c>
      <c r="B3" s="12">
        <f>$B$6*D3</f>
        <v>12307.692307692309</v>
      </c>
      <c r="C3" s="12">
        <v>8</v>
      </c>
      <c r="D3" s="12">
        <f>C3/SUM(C3:C5)</f>
        <v>0.19851116625310175</v>
      </c>
      <c r="E3" s="12"/>
      <c r="F3" s="12"/>
      <c r="G3" s="12">
        <f>B3</f>
        <v>12307.692307692309</v>
      </c>
      <c r="H3" s="12">
        <v>0.38</v>
      </c>
      <c r="I3" s="12">
        <v>255.27297346430879</v>
      </c>
      <c r="J3" s="12">
        <f t="shared" ref="J3:J5" si="0">G3/I3</f>
        <v>48.213847869066008</v>
      </c>
      <c r="K3" s="6">
        <f>G3/$G$6</f>
        <v>0.28096464528213538</v>
      </c>
    </row>
    <row r="4" spans="1:11" x14ac:dyDescent="0.2">
      <c r="A4" s="7" t="s">
        <v>124</v>
      </c>
      <c r="B4" s="4">
        <f>$B$6*D4</f>
        <v>24461.538461538465</v>
      </c>
      <c r="C4" s="12">
        <v>15.9</v>
      </c>
      <c r="D4" s="12">
        <f>C4/SUM(C3:C5)</f>
        <v>0.39454094292803976</v>
      </c>
      <c r="E4" s="12">
        <v>2</v>
      </c>
      <c r="F4" s="12">
        <v>5</v>
      </c>
      <c r="G4" s="12">
        <f>B4-(E4/F4)*B4</f>
        <v>14676.923076923078</v>
      </c>
      <c r="H4" s="12">
        <v>0.32</v>
      </c>
      <c r="I4" s="12">
        <v>219.39901329605507</v>
      </c>
      <c r="J4" s="12">
        <f t="shared" si="0"/>
        <v>66.896030462626413</v>
      </c>
      <c r="K4" s="6">
        <f>G4/$G$6</f>
        <v>0.33505033949894641</v>
      </c>
    </row>
    <row r="5" spans="1:11" ht="17" thickBot="1" x14ac:dyDescent="0.25">
      <c r="A5" s="144" t="s">
        <v>125</v>
      </c>
      <c r="B5" s="145">
        <f>$B$6*D5</f>
        <v>25230.76923076923</v>
      </c>
      <c r="C5" s="109">
        <v>16.399999999999999</v>
      </c>
      <c r="D5" s="109">
        <f>C5/SUM(C3:C5)</f>
        <v>0.40694789081885857</v>
      </c>
      <c r="E5" s="109">
        <v>2</v>
      </c>
      <c r="F5" s="109">
        <v>6</v>
      </c>
      <c r="G5" s="109">
        <f>B5-(E5/F5)*B5</f>
        <v>16820.51282051282</v>
      </c>
      <c r="H5" s="109">
        <v>0.3</v>
      </c>
      <c r="I5" s="109">
        <v>200.32801323963616</v>
      </c>
      <c r="J5" s="109">
        <f t="shared" si="0"/>
        <v>83.964856180107986</v>
      </c>
      <c r="K5" s="110">
        <f>G5/$G$6</f>
        <v>0.38398501521891831</v>
      </c>
    </row>
    <row r="6" spans="1:11" ht="18" thickTop="1" thickBot="1" x14ac:dyDescent="0.25">
      <c r="A6" s="143" t="s">
        <v>4</v>
      </c>
      <c r="B6" s="9">
        <v>62000</v>
      </c>
      <c r="C6" s="10"/>
      <c r="D6" s="10"/>
      <c r="E6" s="10"/>
      <c r="F6" s="10"/>
      <c r="G6" s="10">
        <f>SUM(G3:G5)</f>
        <v>43805.128205128203</v>
      </c>
      <c r="H6" s="10"/>
      <c r="I6" s="10">
        <v>675</v>
      </c>
      <c r="J6" s="10">
        <f>(J5*H5)+(J4*H4)+(J3*H3)</f>
        <v>64.917448792317927</v>
      </c>
      <c r="K6" s="11">
        <f>G6/$G$6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D42B8-DEE7-7444-92AE-691007554A47}">
  <dimension ref="A1:AE56"/>
  <sheetViews>
    <sheetView zoomScale="75" workbookViewId="0"/>
  </sheetViews>
  <sheetFormatPr baseColWidth="10" defaultRowHeight="16" x14ac:dyDescent="0.2"/>
  <cols>
    <col min="21" max="21" width="11.83203125" bestFit="1" customWidth="1"/>
  </cols>
  <sheetData>
    <row r="1" spans="1:31" x14ac:dyDescent="0.2">
      <c r="A1" s="17" t="s">
        <v>5</v>
      </c>
      <c r="B1" s="18" t="s">
        <v>6</v>
      </c>
      <c r="C1" s="18"/>
      <c r="D1" s="19"/>
      <c r="E1" s="18" t="s">
        <v>7</v>
      </c>
      <c r="F1" s="18"/>
      <c r="G1" s="20"/>
      <c r="H1" s="18"/>
      <c r="I1" s="19"/>
      <c r="J1" s="18" t="s">
        <v>8</v>
      </c>
      <c r="K1" s="20"/>
      <c r="L1" s="18"/>
      <c r="M1" s="18"/>
      <c r="N1" s="18"/>
      <c r="O1" s="19"/>
      <c r="P1" s="18" t="s">
        <v>9</v>
      </c>
      <c r="Q1" s="18"/>
      <c r="R1" s="18"/>
      <c r="S1" s="21" t="s">
        <v>10</v>
      </c>
      <c r="T1" s="18"/>
      <c r="U1" s="22"/>
      <c r="V1" s="18" t="s">
        <v>11</v>
      </c>
      <c r="W1" s="18"/>
      <c r="X1" s="23"/>
      <c r="Y1" s="24"/>
      <c r="Z1" s="24"/>
    </row>
    <row r="2" spans="1:31" x14ac:dyDescent="0.2">
      <c r="A2" s="25"/>
      <c r="B2" s="2"/>
      <c r="C2" s="2"/>
      <c r="D2" s="1" t="s">
        <v>12</v>
      </c>
      <c r="E2" s="2" t="s">
        <v>13</v>
      </c>
      <c r="F2" s="2" t="s">
        <v>14</v>
      </c>
      <c r="G2" s="26" t="s">
        <v>15</v>
      </c>
      <c r="H2" s="2"/>
      <c r="I2" s="1" t="s">
        <v>16</v>
      </c>
      <c r="J2" s="2" t="s">
        <v>17</v>
      </c>
      <c r="K2" s="26" t="s">
        <v>18</v>
      </c>
      <c r="L2" s="2"/>
      <c r="M2" s="81"/>
      <c r="N2" s="2"/>
      <c r="O2" s="1" t="s">
        <v>16</v>
      </c>
      <c r="P2" s="2" t="s">
        <v>19</v>
      </c>
      <c r="Q2" s="26" t="s">
        <v>20</v>
      </c>
      <c r="R2" s="2"/>
      <c r="S2" s="27" t="s">
        <v>21</v>
      </c>
      <c r="U2" s="28" t="s">
        <v>22</v>
      </c>
      <c r="V2" s="29" t="s">
        <v>23</v>
      </c>
      <c r="W2" s="2" t="s">
        <v>24</v>
      </c>
      <c r="X2" s="3" t="s">
        <v>25</v>
      </c>
    </row>
    <row r="3" spans="1:31" ht="17" x14ac:dyDescent="0.2">
      <c r="A3" s="30"/>
      <c r="B3" s="29"/>
      <c r="C3" s="29"/>
      <c r="D3" s="31" t="s">
        <v>3</v>
      </c>
      <c r="E3" s="29" t="s">
        <v>3</v>
      </c>
      <c r="F3" s="29" t="s">
        <v>3</v>
      </c>
      <c r="G3" s="32" t="s">
        <v>3</v>
      </c>
      <c r="H3" s="29"/>
      <c r="I3" s="31" t="s">
        <v>26</v>
      </c>
      <c r="J3" s="29" t="s">
        <v>26</v>
      </c>
      <c r="K3" s="32" t="s">
        <v>26</v>
      </c>
      <c r="L3" s="29"/>
      <c r="M3" s="58"/>
      <c r="N3" s="29"/>
      <c r="O3" s="31"/>
      <c r="P3" s="33"/>
      <c r="Q3" s="34"/>
      <c r="R3" s="29"/>
      <c r="S3" s="35" t="s">
        <v>27</v>
      </c>
      <c r="T3" s="24"/>
      <c r="U3" s="36"/>
      <c r="V3" s="24"/>
      <c r="W3" s="24"/>
      <c r="X3" s="37"/>
      <c r="Y3" s="24"/>
      <c r="Z3" s="24"/>
      <c r="AA3" s="24"/>
      <c r="AB3" s="24"/>
      <c r="AC3" s="24"/>
      <c r="AD3" s="24"/>
      <c r="AE3" s="24"/>
    </row>
    <row r="4" spans="1:31" x14ac:dyDescent="0.2">
      <c r="A4" s="38" t="s">
        <v>28</v>
      </c>
      <c r="B4" s="24">
        <v>23894</v>
      </c>
      <c r="C4" s="24"/>
      <c r="D4" s="39">
        <v>0.5</v>
      </c>
      <c r="E4" s="40">
        <v>0.5</v>
      </c>
      <c r="F4" s="40">
        <v>0.1</v>
      </c>
      <c r="G4" s="41">
        <f>(D4*E4)-F4</f>
        <v>0.15</v>
      </c>
      <c r="H4" s="24"/>
      <c r="I4" s="42">
        <v>205.06680700000001</v>
      </c>
      <c r="J4" s="40"/>
      <c r="K4" s="41">
        <f t="shared" ref="K4:K32" si="0">I4-J4</f>
        <v>205.06680700000001</v>
      </c>
      <c r="L4" s="82"/>
      <c r="M4" s="82"/>
      <c r="N4" s="24"/>
      <c r="O4" s="39">
        <f t="shared" ref="O4:O32" si="1">B4*G4</f>
        <v>3584.1</v>
      </c>
      <c r="P4" s="40"/>
      <c r="Q4" s="41">
        <f>O4-P4</f>
        <v>3584.1</v>
      </c>
      <c r="R4" s="43"/>
      <c r="S4" s="44">
        <f t="shared" ref="S4:S29" si="2">Q4/K4</f>
        <v>17.4777188587132</v>
      </c>
      <c r="T4" s="24"/>
      <c r="U4" s="45">
        <f>G4*0.8</f>
        <v>0.12</v>
      </c>
      <c r="V4" s="40">
        <f t="shared" ref="V4:V32" si="3">(B4*U4)-P4</f>
        <v>2867.2799999999997</v>
      </c>
      <c r="W4" s="46">
        <f>G4*1.2</f>
        <v>0.18</v>
      </c>
      <c r="X4" s="47">
        <f>(B4*W4)-P4</f>
        <v>4300.92</v>
      </c>
      <c r="Y4" s="24"/>
      <c r="Z4" s="24"/>
      <c r="AA4" s="24"/>
      <c r="AB4" s="24"/>
      <c r="AC4" s="24"/>
      <c r="AD4" s="24"/>
      <c r="AE4" s="24"/>
    </row>
    <row r="5" spans="1:31" x14ac:dyDescent="0.2">
      <c r="A5" s="38" t="s">
        <v>29</v>
      </c>
      <c r="B5" s="24">
        <v>43752</v>
      </c>
      <c r="C5" s="24"/>
      <c r="D5" s="36">
        <v>0.5</v>
      </c>
      <c r="E5" s="24">
        <v>0.5</v>
      </c>
      <c r="F5" s="24">
        <v>0.1</v>
      </c>
      <c r="G5" s="48">
        <f t="shared" ref="G5:G29" si="4">(D5*E5)-F5</f>
        <v>0.15</v>
      </c>
      <c r="H5" s="24"/>
      <c r="I5" s="49">
        <v>315.34942799999999</v>
      </c>
      <c r="J5" s="24"/>
      <c r="K5" s="48">
        <f t="shared" si="0"/>
        <v>315.34942799999999</v>
      </c>
      <c r="L5" s="82"/>
      <c r="M5" s="82"/>
      <c r="N5" s="24"/>
      <c r="O5" s="36">
        <f t="shared" si="1"/>
        <v>6562.8</v>
      </c>
      <c r="P5" s="24"/>
      <c r="Q5" s="48">
        <f>O5-P5</f>
        <v>6562.8</v>
      </c>
      <c r="R5" s="43"/>
      <c r="S5" s="50">
        <f t="shared" si="2"/>
        <v>20.81119994928293</v>
      </c>
      <c r="T5" s="24"/>
      <c r="U5" s="1">
        <f t="shared" ref="U5:U32" si="5">G5*0.8</f>
        <v>0.12</v>
      </c>
      <c r="V5" s="24">
        <f t="shared" si="3"/>
        <v>5250.24</v>
      </c>
      <c r="W5" s="2">
        <f t="shared" ref="W5:W32" si="6">G5*1.2</f>
        <v>0.18</v>
      </c>
      <c r="X5" s="37">
        <f t="shared" ref="X5:X32" si="7">(B5*W5)-P5</f>
        <v>7875.36</v>
      </c>
      <c r="Y5" s="24"/>
      <c r="Z5" s="24"/>
      <c r="AA5" s="24"/>
      <c r="AB5" s="24"/>
      <c r="AC5" s="24"/>
      <c r="AD5" s="24"/>
      <c r="AE5" s="24"/>
    </row>
    <row r="6" spans="1:31" x14ac:dyDescent="0.2">
      <c r="A6" s="38" t="s">
        <v>30</v>
      </c>
      <c r="B6" s="24">
        <v>21294</v>
      </c>
      <c r="C6" s="24"/>
      <c r="D6" s="36">
        <v>0.5</v>
      </c>
      <c r="E6" s="24">
        <v>0.5</v>
      </c>
      <c r="F6" s="24">
        <v>0.1</v>
      </c>
      <c r="G6" s="48">
        <f t="shared" si="4"/>
        <v>0.15</v>
      </c>
      <c r="H6" s="24"/>
      <c r="I6" s="49">
        <v>527.774541</v>
      </c>
      <c r="J6" s="24"/>
      <c r="K6" s="48">
        <f t="shared" si="0"/>
        <v>527.774541</v>
      </c>
      <c r="L6" s="82"/>
      <c r="M6" s="82"/>
      <c r="N6" s="24"/>
      <c r="O6" s="36">
        <f t="shared" si="1"/>
        <v>3194.1</v>
      </c>
      <c r="P6" s="24"/>
      <c r="Q6" s="48">
        <f t="shared" ref="Q6:Q32" si="8">O6-P6</f>
        <v>3194.1</v>
      </c>
      <c r="R6" s="43"/>
      <c r="S6" s="50">
        <f t="shared" si="2"/>
        <v>6.0520160634273568</v>
      </c>
      <c r="T6" s="24"/>
      <c r="U6" s="1">
        <f t="shared" si="5"/>
        <v>0.12</v>
      </c>
      <c r="V6" s="24">
        <f t="shared" si="3"/>
        <v>2555.2799999999997</v>
      </c>
      <c r="W6" s="2">
        <f t="shared" si="6"/>
        <v>0.18</v>
      </c>
      <c r="X6" s="37">
        <f t="shared" si="7"/>
        <v>3832.92</v>
      </c>
      <c r="Y6" s="24"/>
      <c r="Z6" s="24"/>
      <c r="AA6" s="24"/>
      <c r="AB6" s="24"/>
      <c r="AC6" s="24"/>
      <c r="AD6" s="24"/>
      <c r="AE6" s="24"/>
    </row>
    <row r="7" spans="1:31" x14ac:dyDescent="0.2">
      <c r="A7" s="38" t="s">
        <v>31</v>
      </c>
      <c r="B7" s="24">
        <v>46600</v>
      </c>
      <c r="C7" s="24"/>
      <c r="D7" s="36">
        <v>0.5</v>
      </c>
      <c r="E7" s="24">
        <v>0.5</v>
      </c>
      <c r="F7" s="24">
        <v>0.1</v>
      </c>
      <c r="G7" s="48">
        <f t="shared" si="4"/>
        <v>0.15</v>
      </c>
      <c r="H7" s="24"/>
      <c r="I7" s="49">
        <v>220.01336800000001</v>
      </c>
      <c r="J7" s="24"/>
      <c r="K7" s="48">
        <f t="shared" si="0"/>
        <v>220.01336800000001</v>
      </c>
      <c r="L7" s="82"/>
      <c r="M7" s="82"/>
      <c r="N7" s="24"/>
      <c r="O7" s="36">
        <f t="shared" si="1"/>
        <v>6990</v>
      </c>
      <c r="P7" s="24"/>
      <c r="Q7" s="48">
        <f t="shared" si="8"/>
        <v>6990</v>
      </c>
      <c r="R7" s="43"/>
      <c r="S7" s="50">
        <f t="shared" si="2"/>
        <v>31.770796763585746</v>
      </c>
      <c r="T7" s="24"/>
      <c r="U7" s="1">
        <f t="shared" si="5"/>
        <v>0.12</v>
      </c>
      <c r="V7" s="24">
        <f t="shared" si="3"/>
        <v>5592</v>
      </c>
      <c r="W7" s="2">
        <f t="shared" si="6"/>
        <v>0.18</v>
      </c>
      <c r="X7" s="37">
        <f t="shared" si="7"/>
        <v>8388</v>
      </c>
      <c r="Y7" s="24"/>
      <c r="Z7" s="24"/>
      <c r="AA7" s="24"/>
      <c r="AB7" s="24"/>
      <c r="AC7" s="24"/>
      <c r="AD7" s="24"/>
      <c r="AE7" s="24"/>
    </row>
    <row r="8" spans="1:31" x14ac:dyDescent="0.2">
      <c r="A8" s="38" t="s">
        <v>32</v>
      </c>
      <c r="B8" s="24">
        <v>72706</v>
      </c>
      <c r="C8" s="24"/>
      <c r="D8" s="36">
        <v>0.7</v>
      </c>
      <c r="E8" s="24">
        <v>0.5</v>
      </c>
      <c r="F8" s="24">
        <v>0.1</v>
      </c>
      <c r="G8" s="48">
        <f t="shared" si="4"/>
        <v>0.24999999999999997</v>
      </c>
      <c r="H8" s="24"/>
      <c r="I8" s="49">
        <v>1030.530841</v>
      </c>
      <c r="J8" s="24">
        <v>200</v>
      </c>
      <c r="K8" s="48">
        <f>I8-J8</f>
        <v>830.53084100000001</v>
      </c>
      <c r="L8" s="82"/>
      <c r="M8" s="82"/>
      <c r="N8" s="24"/>
      <c r="O8" s="36">
        <f t="shared" si="1"/>
        <v>18176.499999999996</v>
      </c>
      <c r="P8" s="24">
        <f>3600*2</f>
        <v>7200</v>
      </c>
      <c r="Q8" s="48">
        <f t="shared" si="8"/>
        <v>10976.499999999996</v>
      </c>
      <c r="R8" s="43"/>
      <c r="S8" s="50">
        <f t="shared" si="2"/>
        <v>13.216246114092224</v>
      </c>
      <c r="T8" s="24"/>
      <c r="U8" s="1">
        <f t="shared" si="5"/>
        <v>0.19999999999999998</v>
      </c>
      <c r="V8" s="24">
        <f t="shared" si="3"/>
        <v>7341.1999999999989</v>
      </c>
      <c r="W8" s="2">
        <f t="shared" si="6"/>
        <v>0.29999999999999993</v>
      </c>
      <c r="X8" s="37">
        <f t="shared" si="7"/>
        <v>14611.799999999996</v>
      </c>
      <c r="Y8" s="24"/>
      <c r="Z8" s="24"/>
      <c r="AA8" s="24"/>
      <c r="AB8" s="24"/>
      <c r="AC8" s="24"/>
      <c r="AD8" s="24"/>
      <c r="AE8" s="24"/>
    </row>
    <row r="9" spans="1:31" x14ac:dyDescent="0.2">
      <c r="A9" s="38" t="s">
        <v>33</v>
      </c>
      <c r="B9" s="24">
        <v>79306</v>
      </c>
      <c r="C9" s="24"/>
      <c r="D9" s="36">
        <v>0.7</v>
      </c>
      <c r="E9" s="24">
        <v>0.5</v>
      </c>
      <c r="F9" s="24">
        <v>0.1</v>
      </c>
      <c r="G9" s="48">
        <f t="shared" si="4"/>
        <v>0.24999999999999997</v>
      </c>
      <c r="H9" s="24"/>
      <c r="I9" s="4">
        <v>1961.816521</v>
      </c>
      <c r="J9" s="24">
        <v>200</v>
      </c>
      <c r="K9" s="48">
        <f>I9-J9</f>
        <v>1761.816521</v>
      </c>
      <c r="L9" s="82"/>
      <c r="M9" s="82"/>
      <c r="N9" s="24"/>
      <c r="O9" s="36">
        <f t="shared" si="1"/>
        <v>19826.499999999996</v>
      </c>
      <c r="P9" s="24">
        <f>7200*2</f>
        <v>14400</v>
      </c>
      <c r="Q9" s="48">
        <f t="shared" si="8"/>
        <v>5426.4999999999964</v>
      </c>
      <c r="R9" s="43"/>
      <c r="S9" s="50">
        <f t="shared" si="2"/>
        <v>3.0800596630345689</v>
      </c>
      <c r="T9" s="24"/>
      <c r="U9" s="1">
        <f t="shared" si="5"/>
        <v>0.19999999999999998</v>
      </c>
      <c r="V9" s="24">
        <f t="shared" si="3"/>
        <v>1461.1999999999989</v>
      </c>
      <c r="W9" s="2">
        <f t="shared" si="6"/>
        <v>0.29999999999999993</v>
      </c>
      <c r="X9" s="37">
        <f t="shared" si="7"/>
        <v>9391.7999999999956</v>
      </c>
      <c r="Y9" s="51"/>
      <c r="Z9" s="24"/>
      <c r="AA9" s="24"/>
      <c r="AB9" s="24"/>
      <c r="AC9" s="24"/>
      <c r="AD9" s="24"/>
      <c r="AE9" s="24"/>
    </row>
    <row r="10" spans="1:31" x14ac:dyDescent="0.2">
      <c r="A10" s="38" t="s">
        <v>34</v>
      </c>
      <c r="B10" s="24">
        <v>62312</v>
      </c>
      <c r="C10" s="24"/>
      <c r="D10" s="36">
        <v>0.7</v>
      </c>
      <c r="E10" s="24">
        <v>0.5</v>
      </c>
      <c r="F10" s="24">
        <v>0.1</v>
      </c>
      <c r="G10" s="48">
        <f t="shared" si="4"/>
        <v>0.24999999999999997</v>
      </c>
      <c r="H10" s="24"/>
      <c r="I10" s="4">
        <v>624.30632600000001</v>
      </c>
      <c r="J10" s="24">
        <v>200</v>
      </c>
      <c r="K10" s="48">
        <f t="shared" si="0"/>
        <v>424.30632600000001</v>
      </c>
      <c r="L10" s="82"/>
      <c r="M10" s="82"/>
      <c r="N10" s="24"/>
      <c r="O10" s="36">
        <f t="shared" si="1"/>
        <v>15577.999999999998</v>
      </c>
      <c r="P10" s="24">
        <f>7200*2</f>
        <v>14400</v>
      </c>
      <c r="Q10" s="48">
        <f t="shared" si="8"/>
        <v>1177.9999999999982</v>
      </c>
      <c r="R10" s="43"/>
      <c r="S10" s="50">
        <f t="shared" si="2"/>
        <v>2.776296104527082</v>
      </c>
      <c r="T10" s="24"/>
      <c r="U10" s="1">
        <v>0.25</v>
      </c>
      <c r="V10" s="24">
        <f t="shared" si="3"/>
        <v>1178</v>
      </c>
      <c r="W10" s="2">
        <f t="shared" si="6"/>
        <v>0.29999999999999993</v>
      </c>
      <c r="X10" s="37">
        <f t="shared" si="7"/>
        <v>4293.5999999999949</v>
      </c>
      <c r="Y10" s="51"/>
      <c r="Z10" s="24"/>
      <c r="AA10" s="24"/>
      <c r="AB10" s="24"/>
      <c r="AC10" s="24"/>
      <c r="AD10" s="24"/>
      <c r="AE10" s="24"/>
    </row>
    <row r="11" spans="1:31" x14ac:dyDescent="0.2">
      <c r="A11" s="38" t="s">
        <v>35</v>
      </c>
      <c r="B11" s="24">
        <v>53014</v>
      </c>
      <c r="C11" s="24"/>
      <c r="D11" s="36">
        <v>0.5</v>
      </c>
      <c r="E11" s="24">
        <v>0.5</v>
      </c>
      <c r="F11" s="24">
        <v>0.1</v>
      </c>
      <c r="G11" s="48">
        <f>(D11*E11)-F11</f>
        <v>0.15</v>
      </c>
      <c r="H11" s="24"/>
      <c r="I11" s="4">
        <v>1941.075294</v>
      </c>
      <c r="J11" s="24"/>
      <c r="K11" s="48">
        <f t="shared" si="0"/>
        <v>1941.075294</v>
      </c>
      <c r="L11" s="82"/>
      <c r="M11" s="82"/>
      <c r="N11" s="24"/>
      <c r="O11" s="36">
        <f t="shared" si="1"/>
        <v>7952.0999999999995</v>
      </c>
      <c r="P11" s="24"/>
      <c r="Q11" s="48">
        <f t="shared" si="8"/>
        <v>7952.0999999999995</v>
      </c>
      <c r="R11" s="43"/>
      <c r="S11" s="50">
        <f t="shared" si="2"/>
        <v>4.0967498914547509</v>
      </c>
      <c r="T11" s="24"/>
      <c r="U11" s="1">
        <f t="shared" si="5"/>
        <v>0.12</v>
      </c>
      <c r="V11" s="24">
        <f t="shared" si="3"/>
        <v>6361.6799999999994</v>
      </c>
      <c r="W11" s="2">
        <f t="shared" si="6"/>
        <v>0.18</v>
      </c>
      <c r="X11" s="37">
        <f t="shared" si="7"/>
        <v>9542.52</v>
      </c>
      <c r="Y11" s="24"/>
      <c r="Z11" s="24"/>
      <c r="AA11" s="24"/>
      <c r="AB11" s="24"/>
      <c r="AC11" s="24"/>
      <c r="AD11" s="24"/>
      <c r="AE11" s="24"/>
    </row>
    <row r="12" spans="1:31" x14ac:dyDescent="0.2">
      <c r="A12" s="38" t="s">
        <v>36</v>
      </c>
      <c r="B12" s="24">
        <v>20468</v>
      </c>
      <c r="C12" s="24"/>
      <c r="D12" s="36">
        <v>0.5</v>
      </c>
      <c r="E12" s="24">
        <v>0.5</v>
      </c>
      <c r="F12" s="24">
        <v>0.1</v>
      </c>
      <c r="G12" s="48">
        <f>(D12*E12)-F12</f>
        <v>0.15</v>
      </c>
      <c r="H12" s="24"/>
      <c r="I12" s="4">
        <v>643.48391300000003</v>
      </c>
      <c r="J12" s="24"/>
      <c r="K12" s="48">
        <f t="shared" si="0"/>
        <v>643.48391300000003</v>
      </c>
      <c r="L12" s="82"/>
      <c r="M12" s="82"/>
      <c r="N12" s="24"/>
      <c r="O12" s="36">
        <f t="shared" si="1"/>
        <v>3070.2</v>
      </c>
      <c r="P12" s="24"/>
      <c r="Q12" s="48">
        <f t="shared" si="8"/>
        <v>3070.2</v>
      </c>
      <c r="R12" s="43"/>
      <c r="S12" s="50">
        <f t="shared" si="2"/>
        <v>4.7712148477595271</v>
      </c>
      <c r="T12" s="24"/>
      <c r="U12" s="1">
        <f t="shared" si="5"/>
        <v>0.12</v>
      </c>
      <c r="V12" s="24">
        <f t="shared" si="3"/>
        <v>2456.16</v>
      </c>
      <c r="W12" s="2">
        <f t="shared" si="6"/>
        <v>0.18</v>
      </c>
      <c r="X12" s="37">
        <f t="shared" si="7"/>
        <v>3684.24</v>
      </c>
      <c r="Y12" s="24"/>
      <c r="Z12" s="24"/>
      <c r="AA12" s="24"/>
      <c r="AB12" s="24"/>
      <c r="AC12" s="24"/>
      <c r="AD12" s="24"/>
      <c r="AE12" s="24"/>
    </row>
    <row r="13" spans="1:31" x14ac:dyDescent="0.2">
      <c r="A13" s="38" t="s">
        <v>37</v>
      </c>
      <c r="B13" s="24">
        <v>29776</v>
      </c>
      <c r="C13" s="24"/>
      <c r="D13" s="36">
        <v>0.5</v>
      </c>
      <c r="E13" s="24">
        <v>0.5</v>
      </c>
      <c r="F13" s="24">
        <v>0.1</v>
      </c>
      <c r="G13" s="48">
        <f t="shared" si="4"/>
        <v>0.15</v>
      </c>
      <c r="H13" s="24"/>
      <c r="I13" s="4">
        <v>488.959474</v>
      </c>
      <c r="J13" s="24"/>
      <c r="K13" s="48">
        <f t="shared" si="0"/>
        <v>488.959474</v>
      </c>
      <c r="L13" s="82"/>
      <c r="M13" s="82"/>
      <c r="N13" s="24"/>
      <c r="O13" s="36">
        <f t="shared" si="1"/>
        <v>4466.3999999999996</v>
      </c>
      <c r="P13" s="24"/>
      <c r="Q13" s="48">
        <f t="shared" si="8"/>
        <v>4466.3999999999996</v>
      </c>
      <c r="R13" s="43"/>
      <c r="S13" s="50">
        <f t="shared" si="2"/>
        <v>9.1344993552574039</v>
      </c>
      <c r="T13" s="24"/>
      <c r="U13" s="1">
        <f t="shared" si="5"/>
        <v>0.12</v>
      </c>
      <c r="V13" s="24">
        <f t="shared" si="3"/>
        <v>3573.12</v>
      </c>
      <c r="W13" s="2">
        <f t="shared" si="6"/>
        <v>0.18</v>
      </c>
      <c r="X13" s="37">
        <f t="shared" si="7"/>
        <v>5359.6799999999994</v>
      </c>
      <c r="Y13" s="24"/>
      <c r="Z13" s="24"/>
      <c r="AA13" s="24"/>
      <c r="AB13" s="24"/>
      <c r="AC13" s="24"/>
      <c r="AD13" s="24"/>
      <c r="AE13" s="24"/>
    </row>
    <row r="14" spans="1:31" x14ac:dyDescent="0.2">
      <c r="A14" s="38" t="s">
        <v>38</v>
      </c>
      <c r="B14" s="24">
        <v>21698</v>
      </c>
      <c r="C14" s="24"/>
      <c r="D14" s="36">
        <v>0.5</v>
      </c>
      <c r="E14" s="24">
        <v>0.5</v>
      </c>
      <c r="F14" s="24">
        <v>0.1</v>
      </c>
      <c r="G14" s="48">
        <f t="shared" si="4"/>
        <v>0.15</v>
      </c>
      <c r="H14" s="24"/>
      <c r="I14" s="4">
        <v>344.09281299999998</v>
      </c>
      <c r="J14" s="24"/>
      <c r="K14" s="48">
        <f t="shared" si="0"/>
        <v>344.09281299999998</v>
      </c>
      <c r="L14" s="82"/>
      <c r="M14" s="82"/>
      <c r="N14" s="24"/>
      <c r="O14" s="36">
        <f t="shared" si="1"/>
        <v>3254.7</v>
      </c>
      <c r="P14" s="24"/>
      <c r="Q14" s="48">
        <f t="shared" si="8"/>
        <v>3254.7</v>
      </c>
      <c r="R14" s="43"/>
      <c r="S14" s="50">
        <f t="shared" si="2"/>
        <v>9.4587851795672346</v>
      </c>
      <c r="T14" s="24"/>
      <c r="U14" s="1">
        <f t="shared" si="5"/>
        <v>0.12</v>
      </c>
      <c r="V14" s="24">
        <f t="shared" si="3"/>
        <v>2603.7599999999998</v>
      </c>
      <c r="W14" s="2">
        <f t="shared" si="6"/>
        <v>0.18</v>
      </c>
      <c r="X14" s="37">
        <f t="shared" si="7"/>
        <v>3905.64</v>
      </c>
      <c r="Y14" s="24"/>
      <c r="Z14" s="24"/>
      <c r="AA14" s="24"/>
      <c r="AB14" s="24"/>
      <c r="AC14" s="24"/>
      <c r="AD14" s="24"/>
      <c r="AE14" s="24"/>
    </row>
    <row r="15" spans="1:31" x14ac:dyDescent="0.2">
      <c r="A15" s="38" t="s">
        <v>39</v>
      </c>
      <c r="B15" s="24">
        <v>16710</v>
      </c>
      <c r="C15" s="24"/>
      <c r="D15" s="36">
        <v>0.5</v>
      </c>
      <c r="E15" s="24">
        <v>0.5</v>
      </c>
      <c r="F15" s="24">
        <v>0.1</v>
      </c>
      <c r="G15" s="48">
        <f t="shared" si="4"/>
        <v>0.15</v>
      </c>
      <c r="H15" s="24"/>
      <c r="I15" s="4">
        <v>310.014655</v>
      </c>
      <c r="J15" s="24"/>
      <c r="K15" s="48">
        <f t="shared" si="0"/>
        <v>310.014655</v>
      </c>
      <c r="L15" s="82"/>
      <c r="M15" s="82"/>
      <c r="N15" s="24"/>
      <c r="O15" s="36">
        <f t="shared" si="1"/>
        <v>2506.5</v>
      </c>
      <c r="P15" s="24"/>
      <c r="Q15" s="48">
        <f t="shared" si="8"/>
        <v>2506.5</v>
      </c>
      <c r="R15" s="43"/>
      <c r="S15" s="50">
        <f t="shared" si="2"/>
        <v>8.0851016543072785</v>
      </c>
      <c r="T15" s="24"/>
      <c r="U15" s="1">
        <f t="shared" si="5"/>
        <v>0.12</v>
      </c>
      <c r="V15" s="24">
        <f t="shared" si="3"/>
        <v>2005.1999999999998</v>
      </c>
      <c r="W15" s="2">
        <f t="shared" si="6"/>
        <v>0.18</v>
      </c>
      <c r="X15" s="37">
        <f t="shared" si="7"/>
        <v>3007.7999999999997</v>
      </c>
      <c r="Y15" s="24"/>
      <c r="Z15" s="24"/>
      <c r="AA15" s="24"/>
      <c r="AB15" s="24"/>
      <c r="AC15" s="24"/>
      <c r="AD15" s="24"/>
      <c r="AE15" s="24"/>
    </row>
    <row r="16" spans="1:31" x14ac:dyDescent="0.2">
      <c r="A16" s="38" t="s">
        <v>40</v>
      </c>
      <c r="B16" s="24">
        <v>20030</v>
      </c>
      <c r="C16" s="24"/>
      <c r="D16" s="36">
        <v>0.5</v>
      </c>
      <c r="E16" s="24">
        <v>0.5</v>
      </c>
      <c r="F16" s="24">
        <v>0.1</v>
      </c>
      <c r="G16" s="48">
        <f t="shared" si="4"/>
        <v>0.15</v>
      </c>
      <c r="H16" s="24"/>
      <c r="I16" s="4">
        <v>346.66822000000002</v>
      </c>
      <c r="J16" s="24"/>
      <c r="K16" s="48">
        <f t="shared" si="0"/>
        <v>346.66822000000002</v>
      </c>
      <c r="L16" s="82"/>
      <c r="M16" s="82"/>
      <c r="N16" s="24"/>
      <c r="O16" s="36">
        <f t="shared" si="1"/>
        <v>3004.5</v>
      </c>
      <c r="P16" s="24"/>
      <c r="Q16" s="48">
        <f t="shared" si="8"/>
        <v>3004.5</v>
      </c>
      <c r="R16" s="43"/>
      <c r="S16" s="50">
        <f t="shared" si="2"/>
        <v>8.6667880891995228</v>
      </c>
      <c r="T16" s="24"/>
      <c r="U16" s="1">
        <f t="shared" si="5"/>
        <v>0.12</v>
      </c>
      <c r="V16" s="24">
        <f t="shared" si="3"/>
        <v>2403.6</v>
      </c>
      <c r="W16" s="2">
        <f t="shared" si="6"/>
        <v>0.18</v>
      </c>
      <c r="X16" s="37">
        <f t="shared" si="7"/>
        <v>3605.4</v>
      </c>
      <c r="Y16" s="24"/>
      <c r="Z16" s="24"/>
      <c r="AA16" s="24"/>
      <c r="AB16" s="24"/>
      <c r="AC16" s="24"/>
      <c r="AD16" s="24"/>
      <c r="AE16" s="24"/>
    </row>
    <row r="17" spans="1:31" x14ac:dyDescent="0.2">
      <c r="A17" s="38" t="s">
        <v>41</v>
      </c>
      <c r="B17" s="24">
        <v>18246</v>
      </c>
      <c r="C17" s="24"/>
      <c r="D17" s="36">
        <v>0.5</v>
      </c>
      <c r="E17" s="24">
        <v>0.5</v>
      </c>
      <c r="F17" s="24">
        <v>0.1</v>
      </c>
      <c r="G17" s="48">
        <f t="shared" si="4"/>
        <v>0.15</v>
      </c>
      <c r="H17" s="24"/>
      <c r="I17" s="4">
        <v>438.14116899999999</v>
      </c>
      <c r="J17" s="24"/>
      <c r="K17" s="48">
        <f t="shared" si="0"/>
        <v>438.14116899999999</v>
      </c>
      <c r="L17" s="82"/>
      <c r="M17" s="82"/>
      <c r="N17" s="24"/>
      <c r="O17" s="36">
        <f t="shared" si="1"/>
        <v>2736.9</v>
      </c>
      <c r="P17" s="24"/>
      <c r="Q17" s="48">
        <f t="shared" si="8"/>
        <v>2736.9</v>
      </c>
      <c r="R17" s="43"/>
      <c r="S17" s="50">
        <f t="shared" si="2"/>
        <v>6.2466168295634414</v>
      </c>
      <c r="T17" s="24"/>
      <c r="U17" s="1">
        <f t="shared" si="5"/>
        <v>0.12</v>
      </c>
      <c r="V17" s="24">
        <f t="shared" si="3"/>
        <v>2189.52</v>
      </c>
      <c r="W17" s="2">
        <f t="shared" si="6"/>
        <v>0.18</v>
      </c>
      <c r="X17" s="37">
        <f t="shared" si="7"/>
        <v>3284.2799999999997</v>
      </c>
      <c r="Y17" s="24"/>
      <c r="Z17" s="24"/>
      <c r="AA17" s="24"/>
      <c r="AB17" s="24"/>
      <c r="AC17" s="24"/>
      <c r="AD17" s="24"/>
      <c r="AE17" s="24"/>
    </row>
    <row r="18" spans="1:31" x14ac:dyDescent="0.2">
      <c r="A18" s="38" t="s">
        <v>42</v>
      </c>
      <c r="B18" s="24">
        <v>15238</v>
      </c>
      <c r="C18" s="24"/>
      <c r="D18" s="36">
        <v>0.5</v>
      </c>
      <c r="E18" s="24">
        <v>0.5</v>
      </c>
      <c r="F18" s="24">
        <v>0.1</v>
      </c>
      <c r="G18" s="48">
        <f t="shared" si="4"/>
        <v>0.15</v>
      </c>
      <c r="H18" s="24"/>
      <c r="I18" s="4">
        <v>502.48036300000001</v>
      </c>
      <c r="J18" s="24"/>
      <c r="K18" s="48">
        <f t="shared" si="0"/>
        <v>502.48036300000001</v>
      </c>
      <c r="L18" s="82"/>
      <c r="M18" s="82"/>
      <c r="N18" s="24"/>
      <c r="O18" s="36">
        <f t="shared" si="1"/>
        <v>2285.6999999999998</v>
      </c>
      <c r="P18" s="24"/>
      <c r="Q18" s="48">
        <f t="shared" si="8"/>
        <v>2285.6999999999998</v>
      </c>
      <c r="R18" s="43"/>
      <c r="S18" s="50">
        <f t="shared" si="2"/>
        <v>4.5488344785326458</v>
      </c>
      <c r="T18" s="24"/>
      <c r="U18" s="1">
        <f t="shared" si="5"/>
        <v>0.12</v>
      </c>
      <c r="V18" s="24">
        <f t="shared" si="3"/>
        <v>1828.56</v>
      </c>
      <c r="W18" s="2">
        <f t="shared" si="6"/>
        <v>0.18</v>
      </c>
      <c r="X18" s="37">
        <f t="shared" si="7"/>
        <v>2742.8399999999997</v>
      </c>
      <c r="Y18" s="24"/>
      <c r="Z18" s="24"/>
      <c r="AA18" s="24"/>
      <c r="AB18" s="24"/>
      <c r="AC18" s="24"/>
      <c r="AD18" s="24"/>
      <c r="AE18" s="24"/>
    </row>
    <row r="19" spans="1:31" x14ac:dyDescent="0.2">
      <c r="A19" s="38" t="s">
        <v>43</v>
      </c>
      <c r="B19" s="24">
        <v>16738</v>
      </c>
      <c r="C19" s="24"/>
      <c r="D19" s="36">
        <v>0.5</v>
      </c>
      <c r="E19" s="24">
        <v>0.5</v>
      </c>
      <c r="F19" s="24">
        <v>0.1</v>
      </c>
      <c r="G19" s="48">
        <f t="shared" si="4"/>
        <v>0.15</v>
      </c>
      <c r="H19" s="24"/>
      <c r="I19" s="4">
        <v>472.35729500000002</v>
      </c>
      <c r="J19" s="24"/>
      <c r="K19" s="48">
        <f t="shared" si="0"/>
        <v>472.35729500000002</v>
      </c>
      <c r="L19" s="82"/>
      <c r="M19" s="82"/>
      <c r="N19" s="24"/>
      <c r="O19" s="36">
        <f t="shared" si="1"/>
        <v>2510.6999999999998</v>
      </c>
      <c r="P19" s="24"/>
      <c r="Q19" s="48">
        <f t="shared" si="8"/>
        <v>2510.6999999999998</v>
      </c>
      <c r="R19" s="43"/>
      <c r="S19" s="50">
        <f t="shared" si="2"/>
        <v>5.3152561134892595</v>
      </c>
      <c r="T19" s="24"/>
      <c r="U19" s="1">
        <f t="shared" si="5"/>
        <v>0.12</v>
      </c>
      <c r="V19" s="24">
        <f t="shared" si="3"/>
        <v>2008.56</v>
      </c>
      <c r="W19" s="2">
        <f t="shared" si="6"/>
        <v>0.18</v>
      </c>
      <c r="X19" s="37">
        <f t="shared" si="7"/>
        <v>3012.8399999999997</v>
      </c>
      <c r="Y19" s="24"/>
      <c r="Z19" s="24"/>
      <c r="AA19" s="24"/>
      <c r="AB19" s="24"/>
      <c r="AC19" s="24"/>
      <c r="AD19" s="24"/>
      <c r="AE19" s="24"/>
    </row>
    <row r="20" spans="1:31" x14ac:dyDescent="0.2">
      <c r="A20" s="38" t="s">
        <v>44</v>
      </c>
      <c r="B20" s="24">
        <v>22658</v>
      </c>
      <c r="C20" s="24"/>
      <c r="D20" s="36">
        <v>0.5</v>
      </c>
      <c r="E20" s="24">
        <v>0.5</v>
      </c>
      <c r="F20" s="24">
        <v>0.1</v>
      </c>
      <c r="G20" s="48">
        <f t="shared" si="4"/>
        <v>0.15</v>
      </c>
      <c r="H20" s="24"/>
      <c r="I20" s="4">
        <v>516.41515600000002</v>
      </c>
      <c r="J20" s="24"/>
      <c r="K20" s="48">
        <f t="shared" si="0"/>
        <v>516.41515600000002</v>
      </c>
      <c r="L20" s="82"/>
      <c r="M20" s="82"/>
      <c r="N20" s="24"/>
      <c r="O20" s="36">
        <f t="shared" si="1"/>
        <v>3398.7</v>
      </c>
      <c r="P20" s="24"/>
      <c r="Q20" s="48">
        <f t="shared" si="8"/>
        <v>3398.7</v>
      </c>
      <c r="R20" s="43"/>
      <c r="S20" s="50">
        <f t="shared" si="2"/>
        <v>6.5813327910925983</v>
      </c>
      <c r="T20" s="24"/>
      <c r="U20" s="1">
        <f t="shared" si="5"/>
        <v>0.12</v>
      </c>
      <c r="V20" s="24">
        <f t="shared" si="3"/>
        <v>2718.96</v>
      </c>
      <c r="W20" s="2">
        <f t="shared" si="6"/>
        <v>0.18</v>
      </c>
      <c r="X20" s="37">
        <f t="shared" si="7"/>
        <v>4078.44</v>
      </c>
      <c r="Y20" s="24"/>
      <c r="Z20" s="24"/>
      <c r="AA20" s="24"/>
      <c r="AB20" s="24"/>
      <c r="AC20" s="24"/>
      <c r="AD20" s="24"/>
      <c r="AE20" s="24"/>
    </row>
    <row r="21" spans="1:31" x14ac:dyDescent="0.2">
      <c r="A21" s="38" t="s">
        <v>45</v>
      </c>
      <c r="B21" s="24">
        <v>19426</v>
      </c>
      <c r="C21" s="24"/>
      <c r="D21" s="36">
        <v>0.5</v>
      </c>
      <c r="E21" s="24">
        <v>0.5</v>
      </c>
      <c r="F21" s="24">
        <v>0.1</v>
      </c>
      <c r="G21" s="48">
        <f t="shared" si="4"/>
        <v>0.15</v>
      </c>
      <c r="H21" s="24"/>
      <c r="I21" s="4">
        <v>430.13901099999998</v>
      </c>
      <c r="J21" s="24"/>
      <c r="K21" s="48">
        <f t="shared" si="0"/>
        <v>430.13901099999998</v>
      </c>
      <c r="L21" s="82"/>
      <c r="M21" s="82"/>
      <c r="N21" s="24"/>
      <c r="O21" s="36">
        <f t="shared" si="1"/>
        <v>2913.9</v>
      </c>
      <c r="P21" s="24"/>
      <c r="Q21" s="48">
        <f t="shared" si="8"/>
        <v>2913.9</v>
      </c>
      <c r="R21" s="43"/>
      <c r="S21" s="50">
        <f t="shared" si="2"/>
        <v>6.7743216157624921</v>
      </c>
      <c r="T21" s="24"/>
      <c r="U21" s="1">
        <f t="shared" si="5"/>
        <v>0.12</v>
      </c>
      <c r="V21" s="24">
        <f t="shared" si="3"/>
        <v>2331.12</v>
      </c>
      <c r="W21" s="2">
        <f t="shared" si="6"/>
        <v>0.18</v>
      </c>
      <c r="X21" s="37">
        <f t="shared" si="7"/>
        <v>3496.68</v>
      </c>
      <c r="Y21" s="24"/>
      <c r="Z21" s="24"/>
      <c r="AA21" s="24"/>
      <c r="AB21" s="24"/>
      <c r="AC21" s="24"/>
      <c r="AD21" s="24"/>
      <c r="AE21" s="24"/>
    </row>
    <row r="22" spans="1:31" x14ac:dyDescent="0.2">
      <c r="A22" s="38" t="s">
        <v>46</v>
      </c>
      <c r="B22" s="24">
        <v>20840</v>
      </c>
      <c r="C22" s="24"/>
      <c r="D22" s="36">
        <v>0.5</v>
      </c>
      <c r="E22" s="24">
        <v>0.5</v>
      </c>
      <c r="F22" s="24">
        <v>0.1</v>
      </c>
      <c r="G22" s="48">
        <f t="shared" si="4"/>
        <v>0.15</v>
      </c>
      <c r="H22" s="24"/>
      <c r="I22" s="4">
        <v>709.11081000000001</v>
      </c>
      <c r="J22" s="24"/>
      <c r="K22" s="48">
        <f t="shared" si="0"/>
        <v>709.11081000000001</v>
      </c>
      <c r="L22" s="82"/>
      <c r="M22" s="82"/>
      <c r="N22" s="24"/>
      <c r="O22" s="36">
        <f t="shared" si="1"/>
        <v>3126</v>
      </c>
      <c r="P22" s="24"/>
      <c r="Q22" s="48">
        <f t="shared" si="8"/>
        <v>3126</v>
      </c>
      <c r="R22" s="43"/>
      <c r="S22" s="50">
        <f t="shared" si="2"/>
        <v>4.4083378167651963</v>
      </c>
      <c r="T22" s="24"/>
      <c r="U22" s="1">
        <f t="shared" si="5"/>
        <v>0.12</v>
      </c>
      <c r="V22" s="24">
        <f t="shared" si="3"/>
        <v>2500.7999999999997</v>
      </c>
      <c r="W22" s="2">
        <f t="shared" si="6"/>
        <v>0.18</v>
      </c>
      <c r="X22" s="37">
        <f t="shared" si="7"/>
        <v>3751.2</v>
      </c>
      <c r="Y22" s="24"/>
      <c r="Z22" s="24"/>
      <c r="AA22" s="24"/>
      <c r="AB22" s="24"/>
      <c r="AC22" s="24"/>
      <c r="AD22" s="24"/>
      <c r="AE22" s="24"/>
    </row>
    <row r="23" spans="1:31" x14ac:dyDescent="0.2">
      <c r="A23" s="38" t="s">
        <v>47</v>
      </c>
      <c r="B23" s="24">
        <v>33640</v>
      </c>
      <c r="C23" s="24"/>
      <c r="D23" s="36">
        <v>0.6</v>
      </c>
      <c r="E23" s="24">
        <v>0.5</v>
      </c>
      <c r="F23" s="24">
        <v>0.1</v>
      </c>
      <c r="G23" s="48">
        <f t="shared" si="4"/>
        <v>0.19999999999999998</v>
      </c>
      <c r="H23" s="24"/>
      <c r="I23" s="4">
        <v>549.29758800000002</v>
      </c>
      <c r="J23" s="24"/>
      <c r="K23" s="48">
        <f t="shared" si="0"/>
        <v>549.29758800000002</v>
      </c>
      <c r="L23" s="82"/>
      <c r="M23" s="82"/>
      <c r="N23" s="24"/>
      <c r="O23" s="36">
        <f t="shared" si="1"/>
        <v>6727.9999999999991</v>
      </c>
      <c r="P23" s="24"/>
      <c r="Q23" s="48">
        <f t="shared" si="8"/>
        <v>6727.9999999999991</v>
      </c>
      <c r="R23" s="43"/>
      <c r="S23" s="50">
        <f t="shared" si="2"/>
        <v>12.248369821714926</v>
      </c>
      <c r="T23" s="24"/>
      <c r="U23" s="1">
        <f t="shared" si="5"/>
        <v>0.16</v>
      </c>
      <c r="V23" s="24">
        <f t="shared" si="3"/>
        <v>5382.4000000000005</v>
      </c>
      <c r="W23" s="2">
        <f t="shared" si="6"/>
        <v>0.23999999999999996</v>
      </c>
      <c r="X23" s="37">
        <f t="shared" si="7"/>
        <v>8073.5999999999985</v>
      </c>
      <c r="Y23" s="24"/>
      <c r="Z23" s="24"/>
      <c r="AA23" s="24"/>
      <c r="AB23" s="24"/>
      <c r="AC23" s="24"/>
      <c r="AD23" s="24"/>
      <c r="AE23" s="24"/>
    </row>
    <row r="24" spans="1:31" x14ac:dyDescent="0.2">
      <c r="A24" s="38" t="s">
        <v>48</v>
      </c>
      <c r="B24" s="24">
        <v>37230</v>
      </c>
      <c r="C24" s="24"/>
      <c r="D24" s="36">
        <v>0.6</v>
      </c>
      <c r="E24" s="24">
        <v>0.5</v>
      </c>
      <c r="F24" s="24">
        <v>0.1</v>
      </c>
      <c r="G24" s="48">
        <f t="shared" si="4"/>
        <v>0.19999999999999998</v>
      </c>
      <c r="H24" s="24"/>
      <c r="I24" s="4">
        <v>1199.6799140000001</v>
      </c>
      <c r="J24" s="24"/>
      <c r="K24" s="48">
        <f t="shared" si="0"/>
        <v>1199.6799140000001</v>
      </c>
      <c r="L24" s="82"/>
      <c r="M24" s="82"/>
      <c r="N24" s="24"/>
      <c r="O24" s="36">
        <f t="shared" si="1"/>
        <v>7445.9999999999991</v>
      </c>
      <c r="P24" s="24"/>
      <c r="Q24" s="48">
        <f t="shared" si="8"/>
        <v>7445.9999999999991</v>
      </c>
      <c r="R24" s="43"/>
      <c r="S24" s="50">
        <f t="shared" si="2"/>
        <v>6.2066555529577689</v>
      </c>
      <c r="T24" s="24"/>
      <c r="U24" s="1">
        <f t="shared" si="5"/>
        <v>0.16</v>
      </c>
      <c r="V24" s="24">
        <f t="shared" si="3"/>
        <v>5956.8</v>
      </c>
      <c r="W24" s="2">
        <f t="shared" si="6"/>
        <v>0.23999999999999996</v>
      </c>
      <c r="X24" s="37">
        <f t="shared" si="7"/>
        <v>8935.1999999999989</v>
      </c>
      <c r="Y24" s="24"/>
      <c r="Z24" s="24"/>
      <c r="AA24" s="24"/>
      <c r="AB24" s="24"/>
      <c r="AC24" s="24"/>
      <c r="AD24" s="24"/>
      <c r="AE24" s="24"/>
    </row>
    <row r="25" spans="1:31" x14ac:dyDescent="0.2">
      <c r="A25" s="38" t="s">
        <v>49</v>
      </c>
      <c r="B25" s="24">
        <v>52382</v>
      </c>
      <c r="C25" s="24"/>
      <c r="D25" s="36">
        <v>0.6</v>
      </c>
      <c r="E25" s="24">
        <v>0.5</v>
      </c>
      <c r="F25" s="24">
        <v>0.1</v>
      </c>
      <c r="G25" s="48">
        <f t="shared" si="4"/>
        <v>0.19999999999999998</v>
      </c>
      <c r="H25" s="24"/>
      <c r="I25" s="4">
        <v>1441.1243489999999</v>
      </c>
      <c r="J25" s="24">
        <v>10.469618211157186</v>
      </c>
      <c r="K25" s="48">
        <f t="shared" si="0"/>
        <v>1430.6547307888427</v>
      </c>
      <c r="L25" s="82"/>
      <c r="M25" s="82"/>
      <c r="N25" s="24"/>
      <c r="O25" s="36">
        <f t="shared" si="1"/>
        <v>10476.4</v>
      </c>
      <c r="P25" s="52">
        <v>121.72465116279071</v>
      </c>
      <c r="Q25" s="48">
        <f t="shared" si="8"/>
        <v>10354.675348837209</v>
      </c>
      <c r="R25" s="43"/>
      <c r="S25" s="50">
        <f t="shared" si="2"/>
        <v>7.2377178965659921</v>
      </c>
      <c r="T25" s="24"/>
      <c r="U25" s="1">
        <f t="shared" si="5"/>
        <v>0.16</v>
      </c>
      <c r="V25" s="24">
        <f t="shared" si="3"/>
        <v>8259.3953488372099</v>
      </c>
      <c r="W25" s="2">
        <f t="shared" si="6"/>
        <v>0.23999999999999996</v>
      </c>
      <c r="X25" s="37">
        <f t="shared" si="7"/>
        <v>12449.955348837208</v>
      </c>
      <c r="Y25" s="24"/>
      <c r="Z25" s="24"/>
      <c r="AA25" s="24"/>
      <c r="AB25" s="24"/>
      <c r="AC25" s="24"/>
      <c r="AD25" s="24"/>
      <c r="AE25" s="24"/>
    </row>
    <row r="26" spans="1:31" x14ac:dyDescent="0.2">
      <c r="A26" s="38" t="s">
        <v>50</v>
      </c>
      <c r="B26" s="24">
        <v>62350</v>
      </c>
      <c r="C26" s="24"/>
      <c r="D26" s="36">
        <v>0.6</v>
      </c>
      <c r="E26" s="24">
        <v>0.5</v>
      </c>
      <c r="F26" s="24">
        <v>0.1</v>
      </c>
      <c r="G26" s="48">
        <f t="shared" si="4"/>
        <v>0.19999999999999998</v>
      </c>
      <c r="H26" s="24"/>
      <c r="I26" s="4">
        <v>272.99317500000001</v>
      </c>
      <c r="J26" s="24">
        <v>173.38703172611784</v>
      </c>
      <c r="K26" s="48">
        <f t="shared" si="0"/>
        <v>99.606143273882168</v>
      </c>
      <c r="L26" s="82"/>
      <c r="M26" s="82"/>
      <c r="N26" s="24"/>
      <c r="O26" s="36">
        <f t="shared" si="1"/>
        <v>12469.999999999998</v>
      </c>
      <c r="P26" s="52">
        <v>3072.5806976744188</v>
      </c>
      <c r="Q26" s="48">
        <f t="shared" si="8"/>
        <v>9397.4193023255793</v>
      </c>
      <c r="R26" s="43"/>
      <c r="S26" s="50">
        <f t="shared" si="2"/>
        <v>94.345780224478247</v>
      </c>
      <c r="T26" s="24"/>
      <c r="U26" s="1">
        <f t="shared" si="5"/>
        <v>0.16</v>
      </c>
      <c r="V26" s="24">
        <f t="shared" si="3"/>
        <v>6903.4193023255812</v>
      </c>
      <c r="W26" s="2">
        <f t="shared" si="6"/>
        <v>0.23999999999999996</v>
      </c>
      <c r="X26" s="37">
        <f t="shared" si="7"/>
        <v>11891.419302325579</v>
      </c>
      <c r="Y26" s="24"/>
      <c r="Z26" s="24"/>
      <c r="AA26" s="24"/>
      <c r="AB26" s="24"/>
      <c r="AC26" s="24"/>
      <c r="AD26" s="24"/>
      <c r="AE26" s="24"/>
    </row>
    <row r="27" spans="1:31" x14ac:dyDescent="0.2">
      <c r="A27" s="38" t="s">
        <v>51</v>
      </c>
      <c r="B27" s="24">
        <v>68910</v>
      </c>
      <c r="C27" s="24"/>
      <c r="D27" s="36">
        <v>0.6</v>
      </c>
      <c r="E27" s="24">
        <v>0.5</v>
      </c>
      <c r="F27" s="24">
        <v>0.1</v>
      </c>
      <c r="G27" s="48">
        <f t="shared" si="4"/>
        <v>0.19999999999999998</v>
      </c>
      <c r="H27" s="24"/>
      <c r="I27" s="4">
        <v>704.14395300000001</v>
      </c>
      <c r="J27" s="24">
        <v>173.38703172611784</v>
      </c>
      <c r="K27" s="48">
        <f t="shared" si="0"/>
        <v>530.7569212738822</v>
      </c>
      <c r="L27" s="82"/>
      <c r="M27" s="82"/>
      <c r="N27" s="24"/>
      <c r="O27" s="36">
        <f t="shared" si="1"/>
        <v>13781.999999999998</v>
      </c>
      <c r="P27" s="52">
        <v>3072.5806976744188</v>
      </c>
      <c r="Q27" s="48">
        <f t="shared" si="8"/>
        <v>10709.419302325579</v>
      </c>
      <c r="R27" s="43"/>
      <c r="S27" s="50">
        <f t="shared" si="2"/>
        <v>20.177634757209855</v>
      </c>
      <c r="T27" s="24"/>
      <c r="U27" s="1">
        <f t="shared" si="5"/>
        <v>0.16</v>
      </c>
      <c r="V27" s="24">
        <f t="shared" si="3"/>
        <v>7953.0193023255815</v>
      </c>
      <c r="W27" s="2">
        <f t="shared" si="6"/>
        <v>0.23999999999999996</v>
      </c>
      <c r="X27" s="37">
        <f t="shared" si="7"/>
        <v>13465.819302325579</v>
      </c>
      <c r="Y27" s="24"/>
      <c r="Z27" s="24"/>
      <c r="AA27" s="24"/>
      <c r="AB27" s="24"/>
      <c r="AC27" s="24"/>
      <c r="AD27" s="24"/>
      <c r="AE27" s="24"/>
    </row>
    <row r="28" spans="1:31" x14ac:dyDescent="0.2">
      <c r="A28" s="38" t="s">
        <v>52</v>
      </c>
      <c r="B28" s="24">
        <v>83086</v>
      </c>
      <c r="C28" s="24"/>
      <c r="D28" s="36">
        <v>0.5</v>
      </c>
      <c r="E28" s="24">
        <v>0.5</v>
      </c>
      <c r="F28" s="24">
        <v>0.1</v>
      </c>
      <c r="G28" s="48">
        <f t="shared" si="4"/>
        <v>0.15</v>
      </c>
      <c r="H28" s="24"/>
      <c r="I28" s="4">
        <v>2246.6749650000002</v>
      </c>
      <c r="J28" s="24">
        <v>21.37815916830359</v>
      </c>
      <c r="K28" s="48">
        <f t="shared" si="0"/>
        <v>2225.2968058316965</v>
      </c>
      <c r="L28" s="82"/>
      <c r="M28" s="82"/>
      <c r="N28" s="24"/>
      <c r="O28" s="36">
        <f t="shared" si="1"/>
        <v>12462.9</v>
      </c>
      <c r="P28" s="52">
        <v>825.42906976744177</v>
      </c>
      <c r="Q28" s="48">
        <f t="shared" si="8"/>
        <v>11637.470930232557</v>
      </c>
      <c r="R28" s="43"/>
      <c r="S28" s="50">
        <f t="shared" si="2"/>
        <v>5.2296264029746338</v>
      </c>
      <c r="T28" s="24"/>
      <c r="U28" s="1">
        <f t="shared" si="5"/>
        <v>0.12</v>
      </c>
      <c r="V28" s="24">
        <f t="shared" si="3"/>
        <v>9144.8909302325574</v>
      </c>
      <c r="W28" s="2">
        <f t="shared" si="6"/>
        <v>0.18</v>
      </c>
      <c r="X28" s="37">
        <f t="shared" si="7"/>
        <v>14130.050930232557</v>
      </c>
      <c r="Y28" s="24"/>
      <c r="Z28" s="24"/>
      <c r="AA28" s="24"/>
      <c r="AB28" s="24"/>
      <c r="AC28" s="24"/>
      <c r="AD28" s="24"/>
      <c r="AE28" s="24"/>
    </row>
    <row r="29" spans="1:31" x14ac:dyDescent="0.2">
      <c r="A29" s="38" t="s">
        <v>53</v>
      </c>
      <c r="B29" s="24">
        <v>37284</v>
      </c>
      <c r="C29" s="24"/>
      <c r="D29" s="36">
        <v>0.5</v>
      </c>
      <c r="E29" s="24">
        <v>0.5</v>
      </c>
      <c r="F29" s="24">
        <v>0.1</v>
      </c>
      <c r="G29" s="48">
        <f t="shared" si="4"/>
        <v>0.15</v>
      </c>
      <c r="H29" s="24"/>
      <c r="I29" s="4">
        <v>1961.08069</v>
      </c>
      <c r="J29" s="24">
        <v>21.37815916830359</v>
      </c>
      <c r="K29" s="48">
        <f t="shared" si="0"/>
        <v>1939.7025308316963</v>
      </c>
      <c r="L29" s="82"/>
      <c r="M29" s="82"/>
      <c r="N29" s="24"/>
      <c r="O29" s="36">
        <f t="shared" si="1"/>
        <v>5592.5999999999995</v>
      </c>
      <c r="P29" s="52">
        <v>825.42906976744177</v>
      </c>
      <c r="Q29" s="48">
        <f t="shared" si="8"/>
        <v>4767.170930232558</v>
      </c>
      <c r="R29" s="43"/>
      <c r="S29" s="50">
        <f t="shared" si="2"/>
        <v>2.4576814508709814</v>
      </c>
      <c r="T29" s="24"/>
      <c r="U29" s="1">
        <f t="shared" si="5"/>
        <v>0.12</v>
      </c>
      <c r="V29" s="24">
        <f t="shared" si="3"/>
        <v>3648.650930232558</v>
      </c>
      <c r="W29" s="2">
        <f t="shared" si="6"/>
        <v>0.18</v>
      </c>
      <c r="X29" s="37">
        <f t="shared" si="7"/>
        <v>5885.6909302325585</v>
      </c>
      <c r="Y29" s="24"/>
      <c r="Z29" s="24"/>
      <c r="AA29" s="24"/>
      <c r="AB29" s="24"/>
      <c r="AC29" s="24"/>
      <c r="AD29" s="24"/>
      <c r="AE29" s="24"/>
    </row>
    <row r="30" spans="1:31" x14ac:dyDescent="0.2">
      <c r="A30" s="38" t="s">
        <v>54</v>
      </c>
      <c r="B30" s="24">
        <v>23942</v>
      </c>
      <c r="C30" s="24"/>
      <c r="D30" s="36"/>
      <c r="E30" s="24">
        <v>0</v>
      </c>
      <c r="F30" s="24">
        <v>0</v>
      </c>
      <c r="G30" s="48">
        <v>0</v>
      </c>
      <c r="H30" s="24"/>
      <c r="I30" s="53">
        <v>0</v>
      </c>
      <c r="J30" s="24"/>
      <c r="K30" s="48">
        <f t="shared" si="0"/>
        <v>0</v>
      </c>
      <c r="L30" s="82"/>
      <c r="M30" s="82"/>
      <c r="N30" s="24"/>
      <c r="O30" s="36">
        <f t="shared" si="1"/>
        <v>0</v>
      </c>
      <c r="P30" s="24"/>
      <c r="Q30" s="48">
        <f t="shared" si="8"/>
        <v>0</v>
      </c>
      <c r="R30" s="43"/>
      <c r="S30" s="50">
        <v>0</v>
      </c>
      <c r="T30" s="24"/>
      <c r="U30" s="1">
        <f t="shared" si="5"/>
        <v>0</v>
      </c>
      <c r="V30" s="24">
        <f t="shared" si="3"/>
        <v>0</v>
      </c>
      <c r="W30" s="2">
        <f t="shared" si="6"/>
        <v>0</v>
      </c>
      <c r="X30" s="37">
        <f t="shared" si="7"/>
        <v>0</v>
      </c>
      <c r="Y30" s="24"/>
      <c r="Z30" s="24"/>
      <c r="AA30" s="24"/>
      <c r="AB30" s="24"/>
      <c r="AC30" s="24"/>
      <c r="AD30" s="24"/>
      <c r="AE30" s="24"/>
    </row>
    <row r="31" spans="1:31" x14ac:dyDescent="0.2">
      <c r="A31" s="38" t="s">
        <v>55</v>
      </c>
      <c r="B31" s="24">
        <v>6804</v>
      </c>
      <c r="C31" s="24"/>
      <c r="D31" s="36">
        <v>0</v>
      </c>
      <c r="E31" s="24">
        <v>0</v>
      </c>
      <c r="F31" s="24">
        <v>0</v>
      </c>
      <c r="G31" s="48">
        <v>0</v>
      </c>
      <c r="H31" s="24"/>
      <c r="I31" s="53">
        <v>0</v>
      </c>
      <c r="J31" s="24"/>
      <c r="K31" s="48">
        <f t="shared" si="0"/>
        <v>0</v>
      </c>
      <c r="L31" s="82"/>
      <c r="M31" s="82"/>
      <c r="N31" s="24"/>
      <c r="O31" s="36">
        <f t="shared" si="1"/>
        <v>0</v>
      </c>
      <c r="P31" s="24"/>
      <c r="Q31" s="48">
        <f t="shared" si="8"/>
        <v>0</v>
      </c>
      <c r="R31" s="43"/>
      <c r="S31" s="50">
        <v>0</v>
      </c>
      <c r="T31" s="24"/>
      <c r="U31" s="1">
        <f t="shared" si="5"/>
        <v>0</v>
      </c>
      <c r="V31" s="24">
        <f t="shared" si="3"/>
        <v>0</v>
      </c>
      <c r="W31" s="2">
        <f t="shared" si="6"/>
        <v>0</v>
      </c>
      <c r="X31" s="37">
        <f t="shared" si="7"/>
        <v>0</v>
      </c>
      <c r="Y31" s="24"/>
      <c r="Z31" s="24"/>
      <c r="AA31" s="24"/>
      <c r="AB31" s="24"/>
      <c r="AC31" s="24"/>
      <c r="AD31" s="24"/>
      <c r="AE31" s="24"/>
    </row>
    <row r="32" spans="1:31" ht="17" thickBot="1" x14ac:dyDescent="0.25">
      <c r="A32" s="86" t="s">
        <v>56</v>
      </c>
      <c r="B32" s="87">
        <v>4412</v>
      </c>
      <c r="C32" s="87"/>
      <c r="D32" s="88">
        <v>0</v>
      </c>
      <c r="E32" s="87">
        <v>0</v>
      </c>
      <c r="F32" s="87">
        <v>0</v>
      </c>
      <c r="G32" s="89">
        <v>0</v>
      </c>
      <c r="H32" s="87"/>
      <c r="I32" s="90">
        <v>0</v>
      </c>
      <c r="J32" s="87"/>
      <c r="K32" s="89">
        <f t="shared" si="0"/>
        <v>0</v>
      </c>
      <c r="L32" s="91"/>
      <c r="M32" s="92"/>
      <c r="N32" s="87"/>
      <c r="O32" s="88">
        <f t="shared" si="1"/>
        <v>0</v>
      </c>
      <c r="P32" s="87"/>
      <c r="Q32" s="89">
        <f t="shared" si="8"/>
        <v>0</v>
      </c>
      <c r="R32" s="93"/>
      <c r="S32" s="94">
        <v>0</v>
      </c>
      <c r="T32" s="87"/>
      <c r="U32" s="95">
        <f t="shared" si="5"/>
        <v>0</v>
      </c>
      <c r="V32" s="87">
        <f t="shared" si="3"/>
        <v>0</v>
      </c>
      <c r="W32" s="96">
        <f t="shared" si="6"/>
        <v>0</v>
      </c>
      <c r="X32" s="97">
        <f t="shared" si="7"/>
        <v>0</v>
      </c>
      <c r="Y32" s="24"/>
      <c r="Z32" s="24"/>
      <c r="AA32" s="24"/>
      <c r="AB32" s="24"/>
      <c r="AC32" s="24"/>
      <c r="AD32" s="24"/>
      <c r="AE32" s="24"/>
    </row>
    <row r="33" spans="1:31" ht="18" thickTop="1" thickBot="1" x14ac:dyDescent="0.25">
      <c r="A33" s="54" t="s">
        <v>16</v>
      </c>
      <c r="B33" s="55">
        <f>SUM(B4:B29)</f>
        <v>999588</v>
      </c>
      <c r="C33" s="55"/>
      <c r="D33" s="55"/>
      <c r="E33" s="55"/>
      <c r="F33" s="55"/>
      <c r="G33" s="55">
        <f>AVERAGE(G4:G29)</f>
        <v>0.17115384615384616</v>
      </c>
      <c r="H33" s="55"/>
      <c r="I33" s="55">
        <f>SUM(I4:I31)</f>
        <v>20402.790639000003</v>
      </c>
      <c r="J33" s="55"/>
      <c r="K33" s="55"/>
      <c r="L33" s="55"/>
      <c r="M33" s="55"/>
      <c r="N33" s="55"/>
      <c r="O33" s="55"/>
      <c r="P33" s="55">
        <f>SUM(P4:P32)</f>
        <v>43917.744186046519</v>
      </c>
      <c r="Q33" s="55">
        <f>SUM(Q4:Q32)</f>
        <v>140178.45581395345</v>
      </c>
      <c r="R33" s="55"/>
      <c r="S33" s="55"/>
      <c r="T33" s="55"/>
      <c r="U33" s="55">
        <f>AVERAGE(U4:U29)</f>
        <v>0.13884615384615392</v>
      </c>
      <c r="V33" s="55">
        <f>SUM(V4:V32)</f>
        <v>106474.81581395348</v>
      </c>
      <c r="W33" s="55">
        <f>AVERAGE(W4:W29)</f>
        <v>0.20538461538461544</v>
      </c>
      <c r="X33" s="56">
        <f>SUM(X4:X32)</f>
        <v>176997.69581395344</v>
      </c>
      <c r="Y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99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AD34" s="24"/>
      <c r="AE34" s="24"/>
    </row>
    <row r="35" spans="1:31" x14ac:dyDescent="0.2">
      <c r="A35" s="24"/>
      <c r="B35" s="57"/>
      <c r="C35" s="57" t="s">
        <v>58</v>
      </c>
      <c r="D35" s="57"/>
      <c r="E35" s="57"/>
      <c r="F35" s="57"/>
      <c r="G35" s="24"/>
      <c r="K35" s="84"/>
      <c r="M35" s="33"/>
      <c r="N35" s="57"/>
      <c r="O35" s="58" t="s">
        <v>59</v>
      </c>
      <c r="P35" s="58"/>
      <c r="Q35" s="58"/>
      <c r="R35" s="24"/>
      <c r="S35" s="24"/>
      <c r="T35" s="24"/>
      <c r="Y35" s="24"/>
    </row>
    <row r="36" spans="1:31" x14ac:dyDescent="0.2">
      <c r="A36" s="61"/>
      <c r="B36" s="62" t="s">
        <v>61</v>
      </c>
      <c r="C36" s="63" t="s">
        <v>62</v>
      </c>
      <c r="D36" s="63" t="s">
        <v>63</v>
      </c>
      <c r="E36" s="64" t="s">
        <v>64</v>
      </c>
      <c r="F36" s="65"/>
      <c r="G36" s="52"/>
      <c r="J36" s="5"/>
      <c r="K36" s="85" t="s">
        <v>65</v>
      </c>
      <c r="L36" s="83"/>
      <c r="M36" s="98" t="s">
        <v>61</v>
      </c>
      <c r="N36" s="66" t="s">
        <v>62</v>
      </c>
      <c r="O36" s="66" t="s">
        <v>63</v>
      </c>
      <c r="P36" s="67" t="s">
        <v>64</v>
      </c>
      <c r="Q36" s="68" t="s">
        <v>16</v>
      </c>
      <c r="S36" s="69" t="s">
        <v>0</v>
      </c>
      <c r="T36" s="70"/>
      <c r="Y36" s="24"/>
    </row>
    <row r="37" spans="1:31" x14ac:dyDescent="0.2">
      <c r="A37" s="71" t="s">
        <v>67</v>
      </c>
      <c r="B37" s="72" t="s">
        <v>68</v>
      </c>
      <c r="C37" s="52"/>
      <c r="D37" s="52"/>
      <c r="E37" s="8"/>
      <c r="F37" s="52"/>
      <c r="G37" s="52"/>
      <c r="J37" s="5"/>
      <c r="K37" s="73">
        <v>516.13508789000002</v>
      </c>
      <c r="L37" s="13"/>
      <c r="M37" s="72">
        <f>Q4+0.6*Q5+0.14*Q6</f>
        <v>7968.9539999999997</v>
      </c>
      <c r="N37" s="52"/>
      <c r="O37" s="52"/>
      <c r="P37" s="8"/>
      <c r="Q37" s="115">
        <f t="shared" ref="Q37:Q41" si="9">SUM(M37:P37)</f>
        <v>7968.9539999999997</v>
      </c>
      <c r="S37" s="117">
        <f>Q37/K37</f>
        <v>15.439667224675031</v>
      </c>
      <c r="T37" s="52"/>
      <c r="U37" s="24"/>
      <c r="V37" s="24"/>
      <c r="W37" s="24"/>
      <c r="X37" s="24"/>
      <c r="Y37" s="24"/>
    </row>
    <row r="38" spans="1:31" x14ac:dyDescent="0.2">
      <c r="A38" s="71" t="s">
        <v>69</v>
      </c>
      <c r="B38" s="72" t="s">
        <v>70</v>
      </c>
      <c r="C38" s="52" t="s">
        <v>71</v>
      </c>
      <c r="D38" s="52"/>
      <c r="E38" s="8"/>
      <c r="F38" s="52"/>
      <c r="G38" s="52"/>
      <c r="J38" s="5"/>
      <c r="K38" s="73">
        <f>3369.76525185878-600</f>
        <v>2769.7652518587802</v>
      </c>
      <c r="L38" s="13"/>
      <c r="M38" s="72">
        <f>(0.4*Q6)+SUM(Q7:Q10)</f>
        <v>25848.639999999992</v>
      </c>
      <c r="N38" s="74">
        <f>Q11 + 0.5*Q12</f>
        <v>9487.1999999999989</v>
      </c>
      <c r="O38" s="52"/>
      <c r="P38" s="8"/>
      <c r="Q38" s="115">
        <f t="shared" si="9"/>
        <v>35335.839999999989</v>
      </c>
      <c r="S38" s="117">
        <f>Q38/K38</f>
        <v>12.757702110778602</v>
      </c>
      <c r="T38" s="52"/>
      <c r="U38" s="24"/>
      <c r="V38" s="24"/>
      <c r="W38" s="24"/>
      <c r="X38" s="24"/>
      <c r="Y38" s="24"/>
    </row>
    <row r="39" spans="1:31" x14ac:dyDescent="0.2">
      <c r="A39" s="71" t="s">
        <v>72</v>
      </c>
      <c r="B39" s="72" t="s">
        <v>73</v>
      </c>
      <c r="C39" s="52" t="s">
        <v>74</v>
      </c>
      <c r="D39" s="52" t="s">
        <v>75</v>
      </c>
      <c r="E39" s="8"/>
      <c r="F39" s="52"/>
      <c r="G39" s="52"/>
      <c r="J39" s="5"/>
      <c r="K39" s="73">
        <v>2272.3146142099999</v>
      </c>
      <c r="L39" s="13"/>
      <c r="M39" s="72">
        <f>Q5*0.4+0.4*Q6</f>
        <v>3902.76</v>
      </c>
      <c r="N39" s="52">
        <f>(0.18*Q12)+0.5*SUM(Q13:Q22)</f>
        <v>15654.636</v>
      </c>
      <c r="O39" s="52">
        <f>0.1*Q23</f>
        <v>672.8</v>
      </c>
      <c r="P39" s="8"/>
      <c r="Q39" s="115">
        <f t="shared" si="9"/>
        <v>20230.196</v>
      </c>
      <c r="S39" s="117">
        <f>Q39/K39</f>
        <v>8.9029027378030108</v>
      </c>
      <c r="T39" s="52"/>
      <c r="U39" s="24"/>
      <c r="V39" s="24"/>
      <c r="W39" s="24"/>
      <c r="X39" s="24"/>
      <c r="Y39" s="24"/>
      <c r="Z39" s="24"/>
    </row>
    <row r="40" spans="1:31" x14ac:dyDescent="0.2">
      <c r="A40" s="71" t="s">
        <v>76</v>
      </c>
      <c r="B40" s="72" t="s">
        <v>77</v>
      </c>
      <c r="C40" s="52" t="s">
        <v>78</v>
      </c>
      <c r="D40" s="52" t="s">
        <v>79</v>
      </c>
      <c r="E40" s="8"/>
      <c r="F40" s="52"/>
      <c r="G40" s="52"/>
      <c r="J40" s="5"/>
      <c r="K40" s="73">
        <v>2272.3146142099999</v>
      </c>
      <c r="L40" s="13"/>
      <c r="M40" s="72">
        <f>0.16*Q6</f>
        <v>511.05599999999998</v>
      </c>
      <c r="N40" s="52">
        <f>0.32*Q12+0.5*SUM(Q13:Q22)</f>
        <v>16084.464</v>
      </c>
      <c r="O40" s="52">
        <f>0.4*Q23+0.2*Q24</f>
        <v>4180.3999999999996</v>
      </c>
      <c r="P40" s="8"/>
      <c r="Q40" s="115">
        <f>SUM(M40:P40)</f>
        <v>20775.919999999998</v>
      </c>
      <c r="S40" s="117">
        <f>Q40/K40</f>
        <v>9.1430649039869074</v>
      </c>
      <c r="T40" s="52"/>
      <c r="U40" s="24"/>
      <c r="V40" s="24"/>
      <c r="W40" s="24"/>
      <c r="X40" s="24"/>
      <c r="Y40" s="24"/>
      <c r="Z40" s="24"/>
    </row>
    <row r="41" spans="1:31" x14ac:dyDescent="0.2">
      <c r="A41" s="75" t="s">
        <v>80</v>
      </c>
      <c r="B41" s="76"/>
      <c r="C41" s="77"/>
      <c r="D41" s="77" t="s">
        <v>81</v>
      </c>
      <c r="E41" s="78" t="s">
        <v>82</v>
      </c>
      <c r="F41" s="52"/>
      <c r="G41" s="52"/>
      <c r="J41" s="5"/>
      <c r="K41" s="80">
        <f>13639.8172668831-(SUM(P25:P29))</f>
        <v>5722.0730808365879</v>
      </c>
      <c r="L41" s="13"/>
      <c r="M41" s="76"/>
      <c r="N41" s="77"/>
      <c r="O41" s="77">
        <f>0.5*Q23+0.8*Q24+SUM(Q25:Q27)</f>
        <v>39782.313953488367</v>
      </c>
      <c r="P41" s="79">
        <f>(Q28+Q29)</f>
        <v>16404.641860465115</v>
      </c>
      <c r="Q41" s="116">
        <f t="shared" si="9"/>
        <v>56186.955813953478</v>
      </c>
      <c r="S41" s="118">
        <f>Q41/K41</f>
        <v>9.8193355834837988</v>
      </c>
      <c r="T41" s="52"/>
      <c r="U41" s="24"/>
      <c r="V41" s="24"/>
      <c r="W41" s="24"/>
      <c r="X41" s="24"/>
      <c r="Y41" s="24"/>
      <c r="Z41" s="24"/>
    </row>
    <row r="42" spans="1:31" ht="17" thickBot="1" x14ac:dyDescent="0.25">
      <c r="A42" s="52"/>
      <c r="B42" s="52"/>
      <c r="C42" s="52"/>
      <c r="D42" s="52"/>
      <c r="E42" s="52"/>
      <c r="F42" s="52"/>
      <c r="G42" s="52"/>
      <c r="M42" s="52"/>
      <c r="N42" s="52"/>
      <c r="O42" s="52"/>
      <c r="P42" s="52"/>
      <c r="Q42" s="52"/>
      <c r="S42" s="52"/>
      <c r="T42" s="52"/>
      <c r="U42" s="24"/>
      <c r="V42" s="24"/>
      <c r="W42" s="24"/>
      <c r="X42" s="24"/>
      <c r="Y42" s="24"/>
      <c r="Z42" s="24"/>
    </row>
    <row r="43" spans="1:31" ht="17" thickTop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S43" s="24"/>
      <c r="T43" s="24"/>
      <c r="U43" s="100"/>
      <c r="V43" s="101" t="s">
        <v>57</v>
      </c>
      <c r="W43" s="101"/>
      <c r="X43" s="112">
        <f>Q33+P33+46000</f>
        <v>230096.19999999995</v>
      </c>
      <c r="Y43" s="24"/>
      <c r="Z43" s="24"/>
      <c r="AA43" s="24"/>
      <c r="AB43" s="24"/>
      <c r="AC43" s="24"/>
      <c r="AD43" s="24"/>
      <c r="AE43" s="24"/>
    </row>
    <row r="44" spans="1:3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102"/>
      <c r="V44" s="59"/>
      <c r="W44" s="60" t="s">
        <v>60</v>
      </c>
      <c r="X44" s="113">
        <f>X33+P33+46000</f>
        <v>266915.43999999994</v>
      </c>
      <c r="Y44" s="24"/>
      <c r="Z44" s="24"/>
      <c r="AA44" s="24"/>
      <c r="AB44" s="24"/>
      <c r="AC44" s="24"/>
      <c r="AD44" s="24"/>
      <c r="AE44" s="24"/>
    </row>
    <row r="45" spans="1:31" ht="17" thickBo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103"/>
      <c r="V45" s="104"/>
      <c r="W45" s="105" t="s">
        <v>66</v>
      </c>
      <c r="X45" s="114">
        <f>V33+P33+46000</f>
        <v>196392.56</v>
      </c>
      <c r="Y45" s="24"/>
      <c r="Z45" s="24"/>
      <c r="AA45" s="24"/>
      <c r="AB45" s="24"/>
      <c r="AC45" s="24"/>
      <c r="AD45" s="24"/>
      <c r="AE45" s="24"/>
    </row>
    <row r="46" spans="1:31" ht="17" thickTop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Y46" s="24"/>
      <c r="Z46" s="24"/>
      <c r="AA46" s="24"/>
      <c r="AB46" s="24"/>
      <c r="AC46" s="24"/>
      <c r="AD46" s="24"/>
      <c r="AE46" s="24"/>
    </row>
    <row r="47" spans="1:3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Y47" s="24"/>
      <c r="Z47" s="24"/>
      <c r="AA47" s="24"/>
      <c r="AB47" s="24"/>
      <c r="AC47" s="24"/>
      <c r="AD47" s="24"/>
      <c r="AE47" s="24"/>
    </row>
    <row r="48" spans="1:3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1:3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1:3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1:3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6" spans="1:31" x14ac:dyDescent="0.2">
      <c r="W56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1248-DF27-694D-8820-44721FED2933}">
  <dimension ref="A1:L34"/>
  <sheetViews>
    <sheetView zoomScale="120" zoomScaleNormal="120" workbookViewId="0">
      <selection activeCell="B24" sqref="B24"/>
    </sheetView>
  </sheetViews>
  <sheetFormatPr baseColWidth="10" defaultRowHeight="16" x14ac:dyDescent="0.2"/>
  <cols>
    <col min="1" max="1" width="21.33203125" style="154" customWidth="1"/>
    <col min="2" max="2" width="21" style="12" bestFit="1" customWidth="1"/>
    <col min="3" max="11" width="10.83203125" style="12"/>
    <col min="12" max="12" width="18" style="12" bestFit="1" customWidth="1"/>
    <col min="13" max="16384" width="10.83203125" style="12"/>
  </cols>
  <sheetData>
    <row r="1" spans="1:12" ht="17" x14ac:dyDescent="0.2">
      <c r="A1" s="155" t="s">
        <v>83</v>
      </c>
      <c r="B1" s="125" t="s">
        <v>84</v>
      </c>
      <c r="C1" s="119" t="s">
        <v>85</v>
      </c>
      <c r="D1" s="119"/>
      <c r="E1" s="119" t="s">
        <v>86</v>
      </c>
      <c r="F1" s="119" t="s">
        <v>87</v>
      </c>
      <c r="G1" s="119" t="s">
        <v>88</v>
      </c>
      <c r="H1" s="119" t="s">
        <v>89</v>
      </c>
      <c r="I1" s="119" t="s">
        <v>90</v>
      </c>
      <c r="J1" s="119" t="s">
        <v>91</v>
      </c>
      <c r="K1" s="119"/>
      <c r="L1" s="126" t="s">
        <v>92</v>
      </c>
    </row>
    <row r="2" spans="1:12" ht="88" customHeight="1" x14ac:dyDescent="0.2">
      <c r="A2" s="151" t="s">
        <v>102</v>
      </c>
      <c r="B2" s="127" t="s">
        <v>94</v>
      </c>
      <c r="C2" s="123">
        <v>0.64</v>
      </c>
      <c r="D2" s="121"/>
      <c r="E2" s="122">
        <v>0.32</v>
      </c>
      <c r="F2" s="122">
        <v>0.32</v>
      </c>
      <c r="G2" s="122">
        <v>0.28000000000000003</v>
      </c>
      <c r="H2" s="122">
        <v>0.08</v>
      </c>
      <c r="I2" s="121"/>
      <c r="J2" s="121"/>
      <c r="K2" s="121"/>
      <c r="L2" s="106">
        <v>107</v>
      </c>
    </row>
    <row r="3" spans="1:12" x14ac:dyDescent="0.2">
      <c r="A3" s="151"/>
      <c r="B3" s="128"/>
      <c r="C3" s="123"/>
      <c r="D3" s="121"/>
      <c r="E3" s="121"/>
      <c r="F3" s="121"/>
      <c r="G3" s="121"/>
      <c r="H3" s="121"/>
      <c r="I3" s="121"/>
      <c r="J3" s="121"/>
      <c r="K3" s="121"/>
      <c r="L3" s="106"/>
    </row>
    <row r="4" spans="1:12" ht="51" x14ac:dyDescent="0.2">
      <c r="A4" s="151" t="s">
        <v>103</v>
      </c>
      <c r="B4" s="128" t="s">
        <v>93</v>
      </c>
      <c r="C4" s="123">
        <v>0.65</v>
      </c>
      <c r="D4" s="121"/>
      <c r="E4" s="121">
        <v>21</v>
      </c>
      <c r="F4" s="121">
        <v>15</v>
      </c>
      <c r="G4" s="121"/>
      <c r="H4" s="121">
        <v>2</v>
      </c>
      <c r="I4" s="121">
        <v>12</v>
      </c>
      <c r="J4" s="121">
        <v>5</v>
      </c>
      <c r="K4" s="121"/>
      <c r="L4" s="106">
        <v>55</v>
      </c>
    </row>
    <row r="5" spans="1:12" x14ac:dyDescent="0.2">
      <c r="A5" s="151"/>
      <c r="B5" s="128"/>
      <c r="C5" s="123"/>
      <c r="D5" s="121"/>
      <c r="E5" s="121"/>
      <c r="F5" s="121"/>
      <c r="G5" s="121"/>
      <c r="H5" s="121"/>
      <c r="I5" s="121"/>
      <c r="J5" s="121"/>
      <c r="K5" s="121"/>
      <c r="L5" s="106"/>
    </row>
    <row r="6" spans="1:12" ht="71" x14ac:dyDescent="0.2">
      <c r="A6" s="151" t="s">
        <v>104</v>
      </c>
      <c r="B6" s="128" t="s">
        <v>94</v>
      </c>
      <c r="C6" s="123">
        <v>0.46</v>
      </c>
      <c r="D6" s="121"/>
      <c r="E6" s="121">
        <v>5</v>
      </c>
      <c r="F6" s="121">
        <v>9</v>
      </c>
      <c r="G6" s="121">
        <v>12</v>
      </c>
      <c r="H6" s="121">
        <v>1</v>
      </c>
      <c r="I6" s="121">
        <v>1</v>
      </c>
      <c r="J6" s="121"/>
      <c r="K6" s="121"/>
      <c r="L6" s="106">
        <v>28</v>
      </c>
    </row>
    <row r="7" spans="1:12" x14ac:dyDescent="0.2">
      <c r="A7" s="151"/>
      <c r="B7" s="128"/>
      <c r="C7" s="123"/>
      <c r="D7" s="121"/>
      <c r="E7" s="121"/>
      <c r="F7" s="121"/>
      <c r="G7" s="121"/>
      <c r="H7" s="121"/>
      <c r="I7" s="121"/>
      <c r="J7" s="121"/>
      <c r="K7" s="121"/>
      <c r="L7" s="106"/>
    </row>
    <row r="8" spans="1:12" x14ac:dyDescent="0.2">
      <c r="A8" s="151"/>
      <c r="B8" s="128"/>
      <c r="C8" s="123"/>
      <c r="D8" s="121"/>
      <c r="E8" s="121"/>
      <c r="F8" s="121"/>
      <c r="G8" s="121"/>
      <c r="H8" s="121"/>
      <c r="I8" s="121"/>
      <c r="J8" s="121"/>
      <c r="K8" s="121"/>
      <c r="L8" s="106"/>
    </row>
    <row r="9" spans="1:12" ht="51" x14ac:dyDescent="0.2">
      <c r="A9" s="152" t="s">
        <v>112</v>
      </c>
      <c r="B9" s="128" t="s">
        <v>99</v>
      </c>
      <c r="C9" s="123">
        <v>0.6470588235294118</v>
      </c>
      <c r="D9" s="121"/>
      <c r="E9" s="121">
        <v>8</v>
      </c>
      <c r="F9" s="121">
        <v>3</v>
      </c>
      <c r="G9" s="121"/>
      <c r="H9" s="121"/>
      <c r="I9" s="121">
        <v>4</v>
      </c>
      <c r="J9" s="121">
        <v>2</v>
      </c>
      <c r="K9" s="121"/>
      <c r="L9" s="106">
        <v>17</v>
      </c>
    </row>
    <row r="10" spans="1:12" x14ac:dyDescent="0.2">
      <c r="A10" s="152"/>
      <c r="B10" s="129"/>
      <c r="C10" s="123"/>
      <c r="D10" s="121"/>
      <c r="E10" s="121"/>
      <c r="F10" s="121"/>
      <c r="G10" s="121"/>
      <c r="H10" s="121"/>
      <c r="I10" s="121"/>
      <c r="J10" s="121"/>
      <c r="K10" s="121"/>
      <c r="L10" s="106"/>
    </row>
    <row r="11" spans="1:12" ht="71" x14ac:dyDescent="0.2">
      <c r="A11" s="152" t="s">
        <v>113</v>
      </c>
      <c r="B11" s="128" t="s">
        <v>99</v>
      </c>
      <c r="C11" s="123">
        <v>0.375</v>
      </c>
      <c r="D11" s="121"/>
      <c r="E11" s="121">
        <v>2</v>
      </c>
      <c r="F11" s="121">
        <v>1</v>
      </c>
      <c r="G11" s="121"/>
      <c r="H11" s="121"/>
      <c r="I11" s="121">
        <v>4</v>
      </c>
      <c r="J11" s="121">
        <v>1</v>
      </c>
      <c r="K11" s="121"/>
      <c r="L11" s="106">
        <v>8</v>
      </c>
    </row>
    <row r="12" spans="1:12" x14ac:dyDescent="0.2">
      <c r="A12" s="151"/>
      <c r="B12" s="128"/>
      <c r="C12" s="123"/>
      <c r="D12" s="121"/>
      <c r="E12" s="122"/>
      <c r="F12" s="122"/>
      <c r="G12" s="122"/>
      <c r="H12" s="122"/>
      <c r="I12" s="121"/>
      <c r="J12" s="121"/>
      <c r="K12" s="121"/>
      <c r="L12" s="106"/>
    </row>
    <row r="13" spans="1:12" x14ac:dyDescent="0.2">
      <c r="A13" s="151"/>
      <c r="B13" s="128"/>
      <c r="C13" s="123"/>
      <c r="D13" s="121"/>
      <c r="E13" s="122"/>
      <c r="F13" s="122"/>
      <c r="G13" s="122"/>
      <c r="H13" s="122"/>
      <c r="I13" s="121"/>
      <c r="J13" s="121"/>
      <c r="K13" s="121"/>
      <c r="L13" s="106"/>
    </row>
    <row r="14" spans="1:12" ht="61" x14ac:dyDescent="0.2">
      <c r="A14" s="151" t="s">
        <v>107</v>
      </c>
      <c r="B14" s="128" t="s">
        <v>94</v>
      </c>
      <c r="C14" s="123">
        <v>0.65116279069767447</v>
      </c>
      <c r="D14" s="121"/>
      <c r="E14" s="121">
        <v>21</v>
      </c>
      <c r="F14" s="121">
        <v>7</v>
      </c>
      <c r="G14" s="121">
        <v>15</v>
      </c>
      <c r="H14" s="121"/>
      <c r="I14" s="121"/>
      <c r="J14" s="121"/>
      <c r="K14" s="121"/>
      <c r="L14" s="106">
        <v>43</v>
      </c>
    </row>
    <row r="15" spans="1:12" x14ac:dyDescent="0.2">
      <c r="A15" s="151"/>
      <c r="B15" s="130"/>
      <c r="C15" s="16"/>
      <c r="L15" s="6"/>
    </row>
    <row r="16" spans="1:12" x14ac:dyDescent="0.2">
      <c r="A16" s="152"/>
      <c r="B16" s="129"/>
      <c r="C16" s="123"/>
      <c r="D16" s="121"/>
      <c r="E16" s="121"/>
      <c r="F16" s="121"/>
      <c r="G16" s="121"/>
      <c r="H16" s="121"/>
      <c r="I16" s="121"/>
      <c r="J16" s="121"/>
      <c r="K16" s="121"/>
      <c r="L16" s="106"/>
    </row>
    <row r="17" spans="1:12" ht="51" x14ac:dyDescent="0.2">
      <c r="A17" s="152" t="s">
        <v>108</v>
      </c>
      <c r="B17" s="128" t="s">
        <v>94</v>
      </c>
      <c r="C17" s="123">
        <v>0.44444444444444442</v>
      </c>
      <c r="D17" s="121"/>
      <c r="E17" s="121">
        <v>1</v>
      </c>
      <c r="F17" s="121">
        <v>3</v>
      </c>
      <c r="G17" s="121">
        <v>3</v>
      </c>
      <c r="H17" s="121"/>
      <c r="I17" s="121"/>
      <c r="J17" s="121">
        <v>2</v>
      </c>
      <c r="K17" s="121"/>
      <c r="L17" s="106">
        <v>9</v>
      </c>
    </row>
    <row r="18" spans="1:12" x14ac:dyDescent="0.2">
      <c r="A18" s="152"/>
      <c r="B18" s="131" t="s">
        <v>96</v>
      </c>
      <c r="C18" s="123">
        <v>0.36842105263157893</v>
      </c>
      <c r="D18" s="121"/>
      <c r="E18" s="121">
        <v>10</v>
      </c>
      <c r="F18" s="121">
        <v>4</v>
      </c>
      <c r="G18" s="121">
        <v>6</v>
      </c>
      <c r="H18" s="121"/>
      <c r="I18" s="121"/>
      <c r="J18" s="121">
        <v>18</v>
      </c>
      <c r="K18" s="121"/>
      <c r="L18" s="106">
        <v>38</v>
      </c>
    </row>
    <row r="19" spans="1:12" x14ac:dyDescent="0.2">
      <c r="A19" s="152"/>
      <c r="B19" s="132"/>
      <c r="C19" s="16"/>
      <c r="L19" s="6"/>
    </row>
    <row r="20" spans="1:12" x14ac:dyDescent="0.2">
      <c r="A20" s="152"/>
      <c r="B20" s="133"/>
      <c r="C20" s="123"/>
      <c r="D20" s="121"/>
      <c r="E20" s="121"/>
      <c r="F20" s="121"/>
      <c r="G20" s="121"/>
      <c r="H20" s="121"/>
      <c r="I20" s="121"/>
      <c r="J20" s="121"/>
      <c r="K20" s="121"/>
      <c r="L20" s="106"/>
    </row>
    <row r="21" spans="1:12" ht="51" x14ac:dyDescent="0.2">
      <c r="A21" s="152" t="s">
        <v>109</v>
      </c>
      <c r="B21" s="131" t="s">
        <v>97</v>
      </c>
      <c r="C21" s="123">
        <v>0.43396226415094341</v>
      </c>
      <c r="D21" s="121"/>
      <c r="E21" s="121">
        <v>23</v>
      </c>
      <c r="F21" s="121"/>
      <c r="G21" s="121">
        <v>30</v>
      </c>
      <c r="H21" s="121"/>
      <c r="I21" s="121"/>
      <c r="J21" s="121"/>
      <c r="K21" s="121"/>
      <c r="L21" s="106">
        <v>53</v>
      </c>
    </row>
    <row r="22" spans="1:12" x14ac:dyDescent="0.2">
      <c r="A22" s="152"/>
      <c r="B22" s="133"/>
      <c r="C22" s="123"/>
      <c r="D22" s="121"/>
      <c r="E22" s="121"/>
      <c r="F22" s="121"/>
      <c r="G22" s="121"/>
      <c r="H22" s="121"/>
      <c r="I22" s="121"/>
      <c r="J22" s="121"/>
      <c r="K22" s="121"/>
      <c r="L22" s="106"/>
    </row>
    <row r="23" spans="1:12" ht="51" x14ac:dyDescent="0.2">
      <c r="A23" s="152" t="s">
        <v>110</v>
      </c>
      <c r="B23" s="131" t="s">
        <v>126</v>
      </c>
      <c r="C23" s="123">
        <v>0.55555555555555558</v>
      </c>
      <c r="D23" s="121"/>
      <c r="E23" s="121">
        <v>15</v>
      </c>
      <c r="F23" s="121"/>
      <c r="G23" s="121">
        <v>12</v>
      </c>
      <c r="H23" s="121"/>
      <c r="I23" s="121"/>
      <c r="J23" s="121"/>
      <c r="K23" s="121"/>
      <c r="L23" s="106">
        <v>27</v>
      </c>
    </row>
    <row r="24" spans="1:12" x14ac:dyDescent="0.2">
      <c r="A24" s="152"/>
      <c r="B24" s="133"/>
      <c r="C24" s="123"/>
      <c r="D24" s="121"/>
      <c r="E24" s="121"/>
      <c r="F24" s="121"/>
      <c r="G24" s="121"/>
      <c r="H24" s="121"/>
      <c r="I24" s="121"/>
      <c r="J24" s="121"/>
      <c r="K24" s="121"/>
      <c r="L24" s="106"/>
    </row>
    <row r="25" spans="1:12" ht="41" x14ac:dyDescent="0.2">
      <c r="A25" s="152" t="s">
        <v>111</v>
      </c>
      <c r="B25" s="131" t="s">
        <v>98</v>
      </c>
      <c r="C25" s="123">
        <v>0.42592592592592593</v>
      </c>
      <c r="D25" s="121"/>
      <c r="E25" s="121">
        <v>23</v>
      </c>
      <c r="F25" s="121"/>
      <c r="G25" s="121">
        <v>6</v>
      </c>
      <c r="H25" s="121"/>
      <c r="I25" s="121">
        <v>24</v>
      </c>
      <c r="J25" s="121">
        <v>1</v>
      </c>
      <c r="K25" s="121"/>
      <c r="L25" s="106">
        <v>54</v>
      </c>
    </row>
    <row r="26" spans="1:12" x14ac:dyDescent="0.2">
      <c r="A26" s="152"/>
      <c r="B26" s="133"/>
      <c r="C26" s="123"/>
      <c r="D26" s="121"/>
      <c r="E26" s="121"/>
      <c r="F26" s="121"/>
      <c r="G26" s="121"/>
      <c r="H26" s="121"/>
      <c r="I26" s="121"/>
      <c r="J26" s="121"/>
      <c r="K26" s="121"/>
      <c r="L26" s="106"/>
    </row>
    <row r="27" spans="1:12" ht="61" x14ac:dyDescent="0.2">
      <c r="A27" s="151" t="s">
        <v>105</v>
      </c>
      <c r="B27" s="131" t="s">
        <v>95</v>
      </c>
      <c r="C27" s="123">
        <v>0.54</v>
      </c>
      <c r="D27" s="121"/>
      <c r="E27" s="121">
        <v>21</v>
      </c>
      <c r="F27" s="121">
        <v>27</v>
      </c>
      <c r="G27" s="121">
        <v>24</v>
      </c>
      <c r="H27" s="121">
        <v>17</v>
      </c>
      <c r="I27" s="121"/>
      <c r="J27" s="121"/>
      <c r="K27" s="121"/>
      <c r="L27" s="106">
        <v>89</v>
      </c>
    </row>
    <row r="28" spans="1:12" x14ac:dyDescent="0.2">
      <c r="A28" s="151"/>
      <c r="B28" s="131"/>
      <c r="C28" s="123"/>
      <c r="D28" s="121"/>
      <c r="E28" s="121"/>
      <c r="F28" s="121"/>
      <c r="G28" s="121"/>
      <c r="H28" s="121"/>
      <c r="I28" s="121"/>
      <c r="J28" s="121"/>
      <c r="K28" s="121"/>
      <c r="L28" s="106"/>
    </row>
    <row r="29" spans="1:12" ht="42" thickBot="1" x14ac:dyDescent="0.25">
      <c r="A29" s="153" t="s">
        <v>106</v>
      </c>
      <c r="B29" s="134" t="s">
        <v>96</v>
      </c>
      <c r="C29" s="120">
        <v>0.44</v>
      </c>
      <c r="D29" s="107"/>
      <c r="E29" s="124">
        <v>0.35</v>
      </c>
      <c r="F29" s="124">
        <v>0.09</v>
      </c>
      <c r="G29" s="124">
        <v>0.48</v>
      </c>
      <c r="H29" s="124">
        <v>7.0000000000000007E-2</v>
      </c>
      <c r="I29" s="107"/>
      <c r="J29" s="107"/>
      <c r="K29" s="107"/>
      <c r="L29" s="108">
        <v>54</v>
      </c>
    </row>
    <row r="30" spans="1:12" x14ac:dyDescent="0.2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</row>
    <row r="31" spans="1:12" ht="17" thickBot="1" x14ac:dyDescent="0.25"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</row>
    <row r="32" spans="1:12" ht="17" thickTop="1" x14ac:dyDescent="0.2">
      <c r="B32" s="135" t="s">
        <v>100</v>
      </c>
      <c r="C32" s="136">
        <v>0.61089887640449447</v>
      </c>
      <c r="D32" s="137"/>
      <c r="E32" s="137"/>
      <c r="F32" s="137"/>
      <c r="G32" s="137"/>
      <c r="H32" s="137"/>
      <c r="I32" s="137"/>
      <c r="J32" s="137"/>
      <c r="K32" s="137"/>
      <c r="L32" s="138">
        <v>267</v>
      </c>
    </row>
    <row r="33" spans="2:12" ht="17" thickBot="1" x14ac:dyDescent="0.25">
      <c r="B33" s="139" t="s">
        <v>101</v>
      </c>
      <c r="C33" s="140">
        <v>0.46609523809523812</v>
      </c>
      <c r="D33" s="141"/>
      <c r="E33" s="141"/>
      <c r="F33" s="141"/>
      <c r="G33" s="141"/>
      <c r="H33" s="141"/>
      <c r="I33" s="141"/>
      <c r="J33" s="141"/>
      <c r="K33" s="141"/>
      <c r="L33" s="142">
        <v>315</v>
      </c>
    </row>
    <row r="34" spans="2:12" ht="17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Supp Table 1</vt:lpstr>
      <vt:lpstr>Supp Table 2</vt:lpstr>
      <vt:lpstr>Supp Table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Corniani</dc:creator>
  <cp:lastModifiedBy>Hannes Saal</cp:lastModifiedBy>
  <dcterms:created xsi:type="dcterms:W3CDTF">2020-08-01T13:55:09Z</dcterms:created>
  <dcterms:modified xsi:type="dcterms:W3CDTF">2020-08-03T13:27:30Z</dcterms:modified>
</cp:coreProperties>
</file>